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8190" activeTab="1"/>
  </bookViews>
  <sheets>
    <sheet name="Титул" sheetId="1" r:id="rId1"/>
    <sheet name="2018 год" sheetId="2" r:id="rId2"/>
  </sheets>
  <definedNames>
    <definedName name="_xlnm.Print_Titles" localSheetId="1">'2018 год'!$4:$5</definedName>
    <definedName name="_xlnm.Print_Area" localSheetId="1">'2018 год'!$A$1:$O$104</definedName>
  </definedNames>
  <calcPr fullCalcOnLoad="1"/>
</workbook>
</file>

<file path=xl/comments2.xml><?xml version="1.0" encoding="utf-8"?>
<comments xmlns="http://schemas.openxmlformats.org/spreadsheetml/2006/main">
  <authors>
    <author/>
  </authors>
  <commentList>
    <comment ref="G8" authorId="0">
      <text>
        <r>
          <rPr>
            <b/>
            <sz val="9"/>
            <color indexed="8"/>
            <rFont val="Tahoma"/>
            <family val="2"/>
          </rPr>
          <t xml:space="preserve">punsh:
</t>
        </r>
        <r>
          <rPr>
            <sz val="9"/>
            <color indexed="8"/>
            <rFont val="Tahoma"/>
            <family val="2"/>
          </rPr>
          <t xml:space="preserve">исправлен по отчету по труду за 2014 год
</t>
        </r>
      </text>
    </comment>
    <comment ref="I12" authorId="0">
      <text>
        <r>
          <rPr>
            <b/>
            <sz val="9"/>
            <color indexed="8"/>
            <rFont val="Tahoma"/>
            <family val="2"/>
          </rPr>
          <t xml:space="preserve">punsh:
</t>
        </r>
        <r>
          <rPr>
            <sz val="9"/>
            <color indexed="8"/>
            <rFont val="Tahoma"/>
            <family val="2"/>
          </rPr>
          <t xml:space="preserve">Исправлено 17.04.18 по информации эксперта
</t>
        </r>
      </text>
    </comment>
    <comment ref="M26" authorId="0">
      <text>
        <r>
          <rPr>
            <b/>
            <sz val="9"/>
            <color indexed="8"/>
            <rFont val="Tahoma"/>
            <family val="2"/>
          </rPr>
          <t xml:space="preserve">punsh:
</t>
        </r>
        <r>
          <rPr>
            <sz val="9"/>
            <color indexed="8"/>
            <rFont val="Tahoma"/>
            <family val="2"/>
          </rPr>
          <t>с учетом ввода детского сада на 230 мест в Зареченском мкр</t>
        </r>
      </text>
    </comment>
    <comment ref="N26" authorId="0">
      <text>
        <r>
          <rPr>
            <b/>
            <sz val="9"/>
            <color indexed="8"/>
            <rFont val="Tahoma"/>
            <family val="2"/>
          </rPr>
          <t xml:space="preserve">punsh:
</t>
        </r>
        <r>
          <rPr>
            <sz val="9"/>
            <color indexed="8"/>
            <rFont val="Tahoma"/>
            <family val="2"/>
          </rPr>
          <t>с учетом ввода детского сада на 230 мест в Зареченском мкр</t>
        </r>
      </text>
    </comment>
    <comment ref="B87" authorId="0">
      <text>
        <r>
          <rPr>
            <b/>
            <sz val="9"/>
            <color indexed="8"/>
            <rFont val="Tahoma"/>
            <family val="2"/>
          </rPr>
          <t xml:space="preserve">punsh:
</t>
        </r>
        <r>
          <rPr>
            <sz val="9"/>
            <color indexed="8"/>
            <rFont val="Tahoma"/>
            <family val="2"/>
          </rPr>
          <t xml:space="preserve">3 знака после запятой!
</t>
        </r>
      </text>
    </comment>
  </commentList>
</comments>
</file>

<file path=xl/sharedStrings.xml><?xml version="1.0" encoding="utf-8"?>
<sst xmlns="http://schemas.openxmlformats.org/spreadsheetml/2006/main" count="240" uniqueCount="184">
  <si>
    <t>ДОКЛАД</t>
  </si>
  <si>
    <t>главы администрации города Орла А.С. Муромского</t>
  </si>
  <si>
    <t>Городской округ "Город Орел"</t>
  </si>
  <si>
    <t>о достигнутых значениях показателей для оценки</t>
  </si>
  <si>
    <t>эффективности деятельности органов местного самоуправления</t>
  </si>
  <si>
    <t>городских округов и муниципальных районов за 2018 год и их</t>
  </si>
  <si>
    <t>планируемых значениях на 3-летний период</t>
  </si>
  <si>
    <t>Подпись _______________</t>
  </si>
  <si>
    <t xml:space="preserve"> Дата __ ______ 2019 год</t>
  </si>
  <si>
    <t xml:space="preserve"> Показатели эффективности деятельности органов местного самоуправления </t>
  </si>
  <si>
    <t>доделать:
показатель -
30</t>
  </si>
  <si>
    <t xml:space="preserve"> (официальное наименование городского округа (муниципального района)</t>
  </si>
  <si>
    <t>№ п/п</t>
  </si>
  <si>
    <t>Наименование показателя</t>
  </si>
  <si>
    <t>Ед. изм.</t>
  </si>
  <si>
    <t>отчет</t>
  </si>
  <si>
    <t>прогноз</t>
  </si>
  <si>
    <t>Примечание</t>
  </si>
  <si>
    <t>Экономическое развитие</t>
  </si>
  <si>
    <t xml:space="preserve">  Число субъектов малого и среднего  предпринимательства в расчете на 10 тыс.человек населения</t>
  </si>
  <si>
    <t xml:space="preserve">  единиц на 10 тыс. человек населения</t>
  </si>
  <si>
    <t xml:space="preserve">  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</si>
  <si>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процентов</t>
  </si>
  <si>
    <t xml:space="preserve">Показатель 2018 года принят по итогам  сплошного наблюдения Орелстата за деятельностью субъектов малого предпринимательства. </t>
  </si>
  <si>
    <t>полный круг</t>
  </si>
  <si>
    <t xml:space="preserve">малые </t>
  </si>
  <si>
    <t>средние</t>
  </si>
  <si>
    <t xml:space="preserve">  Объем инвестиций в основной капитал (за исключением бюджетных средств) в расчете на 1 жителя       </t>
  </si>
  <si>
    <t>рублей</t>
  </si>
  <si>
    <t>Расчет плановых значений показателя произведен в действующих ценах каждого года на основании прогноза социально-экономического развития города Орла на 2019-2021 годы</t>
  </si>
  <si>
    <t>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t>
  </si>
  <si>
    <t>В связи с тем, что с 18.07.2018 года на территории Орловской области введен в эксплуатацию программный комплекс ФГИС ЕГРН, в котором отсутствует возможность выгрузки сведений о площади земель города Орла, стоящих на учете по налогооблагаемым видам права, при расчете показателя за 2018 год в общую площадь земельных участков, являющихся объектами налогообложения, включены участки, расположенные на территории города Орла, стоявшие по состоянию на 01.01.2018 года на кадастровом учете по налогооблагаемым видам права (площадью 9484,6 га) по данным ФГБОУ "ФКП Росреестра" и площадь проданных за 2018 год муниципальных земельных участков и земельных участков, государственная собственность на которые не разграничена (3,2 га).</t>
  </si>
  <si>
    <t xml:space="preserve">Число прибыльных сельскохозяйственных организаций (для муниципальных  районов)                </t>
  </si>
  <si>
    <t>единиц</t>
  </si>
  <si>
    <t>Показатели по городскому округу "Город Орёл" не представляются</t>
  </si>
  <si>
    <t xml:space="preserve">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t>
  </si>
  <si>
    <t xml:space="preserve"> процентов</t>
  </si>
  <si>
    <t xml:space="preserve">В соответствии с методическими рекомендациями  информация представлена на основании федерального статистического наблюдения по форме № 3-ДГ (мо).   В 2018 году введена в эксплуатацию дорога по ул.Родзевича-Белевича протяженностью 0,87 км. Общая протяженность улиц, проездов, набережных на конец 2018 года составляла 461,3 км, из них с усовершенствованным покрытием - 304,7 км, не имело усовершенствованного покрытия 156,6 км.
</t>
  </si>
  <si>
    <t xml:space="preserve"> 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</si>
  <si>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 xml:space="preserve">  Среднемесячная номинальная начисленная заработная плата работников:</t>
  </si>
  <si>
    <t xml:space="preserve">      крупных и средних предприятий и некоммерческих организаций</t>
  </si>
  <si>
    <t xml:space="preserve">      муниципальных дошкольных образовательных учреждений          </t>
  </si>
  <si>
    <t xml:space="preserve">      муниципальных общеобразовательных   учреждений:                 </t>
  </si>
  <si>
    <t xml:space="preserve">       учителей муниципальных  общеобразовательных  учреждений       </t>
  </si>
  <si>
    <t xml:space="preserve">      муниципальных учреждений физической культуры и спорта</t>
  </si>
  <si>
    <t>Дошкольное образование</t>
  </si>
  <si>
    <t xml:space="preserve"> Доля детей в возрасте   1-6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1-6 лет</t>
  </si>
  <si>
    <t xml:space="preserve">Показатель приведен по данным Орелстата. Муниципальные дошкольные образовательные учреждения, помимо городских детей, посещают дети, родители которых не зарегистрированы в городе Орле.  В 2018 году за счет эффективного использования имеющихся площадей в дошкольных учреждениях создано 112 дополнительных мест. В 2019 году  планируется ввод в эксплуатацию детского сада на 230 мест в микрорайоне "Зареченский", который начнет свою деятельность в 2020 году . </t>
  </si>
  <si>
    <t>численность детей в д/с</t>
  </si>
  <si>
    <t>численность детей от 1 до 6 лет</t>
  </si>
  <si>
    <t xml:space="preserve">   Доля детей в возрасте 1 - 6  лет, состоящих на учете для  определения в муниципальные  дошкольные образовательные  учреждения, в общей  численности детей в возрасте 1- 6 лет</t>
  </si>
  <si>
    <t xml:space="preserve">На учете для определения  в муниципальные дошкольные образовательные учреждения города также стоят дети, родители которых не зарегистрированы в городе Орле. В связи с этим сумма показателей 9 и 10 превышает 100%. </t>
  </si>
  <si>
    <t>численность детей, стоящих на учете</t>
  </si>
  <si>
    <t xml:space="preserve">Доля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образовательных учреждений    </t>
  </si>
  <si>
    <t xml:space="preserve">Находившийся  в 2017, 2018 годах  на капитальном ремонте МБДОУ "Детский сад № 2 общеразвивающего вида с приоритетным осуществлением деятельности по социально-личностному направлению развития детей" г.Орла, введен в эксплуатацию в ноябре 2018 года </t>
  </si>
  <si>
    <t>Общее и дополнительное образование</t>
  </si>
  <si>
    <t xml:space="preserve">  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  </t>
  </si>
  <si>
    <t xml:space="preserve">В 2018 году выпускников 11 класса было 1358 человек, не получили аттестат 3 человека или 0,2% от общего количества выпускников. </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</si>
  <si>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</si>
  <si>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В 2018 году из 16 качественных критериев, участвующих в расчете,  требованиям по 12-ти критериям соответствуют 100% общеобразовательных учреждений (43 учреждения). Требованиям остальных 4 критериев отвечают не все учреждения:  дымовые извещатели имеют 36 учреждений, условия для беспрепятственного доступа детей-инвалидов - 22 учреждения, пожарные рукава и краны - 17 учреждений,  образовательные программы с использованием дистанционных технологий реализуют 3 учреждения.</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</si>
  <si>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t>
  </si>
  <si>
    <t xml:space="preserve">   Доля детей первой и второй групп здоровья в общей численности обучающихся в муниципальных общеобразовательных учреждениях </t>
  </si>
  <si>
    <t xml:space="preserve"> В 2018 году среднесписочное количество обучающихся - 33418 человек, к 1-ой и 2-ой  группе здоровья относится 24896 человек.</t>
  </si>
  <si>
    <t>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t>
  </si>
  <si>
    <t>В 2018 году среднесписочное количество обучающихся  – 33418 человек, количество занимающихся во вторую смену -  8254 человека. Увеличение показателя по сравнению с 2017 годом связано с переполненностью школ в новых микрорайонах (Новая Ботаника, Зареченский, Наугорский)</t>
  </si>
  <si>
    <t xml:space="preserve"> Расходы бюджета муниципального образования в расчете на одного обучающегося в муниципальных общеобразовательных учреждениях  </t>
  </si>
  <si>
    <t xml:space="preserve">  тыс.рублей</t>
  </si>
  <si>
    <t>Доля детей в возрасте 5-18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t>
  </si>
  <si>
    <t xml:space="preserve">  человек</t>
  </si>
  <si>
    <t>управление образования</t>
  </si>
  <si>
    <t>Управление образования области</t>
  </si>
  <si>
    <t>Управление физкультуры области</t>
  </si>
  <si>
    <t>школы искусств</t>
  </si>
  <si>
    <t>частные</t>
  </si>
  <si>
    <t>численность детей 5-18 лет</t>
  </si>
  <si>
    <t>Культура</t>
  </si>
  <si>
    <t>Уровень фактической  обеспеченности учреждениями  культуры от  нормативной потребности:</t>
  </si>
  <si>
    <t xml:space="preserve">В 2018 году количество учреждений культуры по сравнению с 2017 годом и 2016 годом не изменилось. Изменение удельных показателей обеспеченности в 2016 году по сравнению с 2015 годом связано с тем, что их расчет за 2016 год произведен по новым нормативам, утвержденным распоряжением Правительства РФ от 26.01.2017 года №95-р "О внесении изменений в социальные нормативы и нормы, одобренные распоряжением Правительства РФ от 03.07.1996 N 1063-р". 
</t>
  </si>
  <si>
    <t xml:space="preserve">          клубами и учреждениями клубного типа       </t>
  </si>
  <si>
    <t xml:space="preserve">          библиотеками                  </t>
  </si>
  <si>
    <t xml:space="preserve">          парками культуры и отдыха    </t>
  </si>
  <si>
    <t>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t>
  </si>
  <si>
    <t>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</si>
  <si>
    <t>В городе Орле 44 объекта культурного наследия местной категории охраны. Подлежат реставрации 22 объекта.  В 2019-2021 годах ежегодно планируется проводить ремонт не менее 2 объектов</t>
  </si>
  <si>
    <t>Физическая культура и спорт</t>
  </si>
  <si>
    <t xml:space="preserve">Доля населения, систематически занимающегося физической культурой и спортом               </t>
  </si>
  <si>
    <t>Показатель рассчитан как численность жителей, систематически занимающихся физической культурой и спортом к численности населения в возрасте 3-79 лет. В 2018 году численность занимающихся физической культурой и спортом составила 77766 человек. В дальнейшем рост показателя планируется за счет реализации ВЦП «Развитие физической культуры и массового спорта в городе Орле»</t>
  </si>
  <si>
    <t>численность 3-79 лет</t>
  </si>
  <si>
    <t>23 (1)</t>
  </si>
  <si>
    <t>Доля обучающихся, систематически занимающихся физической культурой и спортом, в общей численности обучающихся</t>
  </si>
  <si>
    <t>Калх</t>
  </si>
  <si>
    <t>Число обучающихся, систематически занимающихся физической культурой и спортом  в 2018 году составило 13735 человек (в 2017 году было 15585 чел.). Снижение показателя по сравнению с 2017 годом обусловлено уменьшением численности воспитанников областных учреждений. В муниципальных детско-юношеских спортивных школах численность воспитанников составила 7486 человек, на 99 человек больше, чем в 2017 году.</t>
  </si>
  <si>
    <t>по отношению к 0-17</t>
  </si>
  <si>
    <t xml:space="preserve">по отчету 1-ФК, который делает Афонин </t>
  </si>
  <si>
    <t>Взята эта цифра в отчет</t>
  </si>
  <si>
    <t>в том числе в ДЮСШ (данные Пугачева)</t>
  </si>
  <si>
    <t>Численность учащихся</t>
  </si>
  <si>
    <t>численность от 0 до 17 лет</t>
  </si>
  <si>
    <t>Жилищное строительство и обеспечение граждан жильем</t>
  </si>
  <si>
    <t xml:space="preserve"> Общая площадь жилых помещений, приходящаяся в среднем на одного жителя - всего</t>
  </si>
  <si>
    <t xml:space="preserve"> кв. метров</t>
  </si>
  <si>
    <t>В 2018 году  введено 87,0 тыс.кв.м жилья, по прогнозу в 2019 году будет введено 93,5 тыс.кв.м, в 2020 году - 72,6 тыс.кв.м, в 2021 году - 140,2 тыс.кв.м</t>
  </si>
  <si>
    <t xml:space="preserve"> в т. ч. введенная в действие за год     </t>
  </si>
  <si>
    <t xml:space="preserve">Площадь земельных участков,  предоставленных для  строительства, в расчете на 10 тыс.человек населения - всего      </t>
  </si>
  <si>
    <t xml:space="preserve"> га</t>
  </si>
  <si>
    <t xml:space="preserve">Показатель 2018 года представлен по итогам работы администрации города Орла по формированию  земельных участков и утверждению схем расположения на кадастровых планах территорий. Значения показателей на 2019 -2021 годы не представлены, так как на территории города Орла </t>
  </si>
  <si>
    <t xml:space="preserve">               в том числе:</t>
  </si>
  <si>
    <t>практически отсутствуют земельные участки, свободные от застройки и обременений, освоение которых возможно в целях жилищного строительства и комплексного освоения</t>
  </si>
  <si>
    <t xml:space="preserve"> для жилищного строительства, индивидуального жилищного строительства и комплексного освоения в целях жилищного строительства      </t>
  </si>
  <si>
    <t xml:space="preserve"> 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t>
  </si>
  <si>
    <t xml:space="preserve">      объектов жилищного строительства - в течение 3 лет             </t>
  </si>
  <si>
    <t xml:space="preserve">  кв. метров</t>
  </si>
  <si>
    <t>-</t>
  </si>
  <si>
    <t xml:space="preserve">      иных объектов капитального строительства - в течение 5 лет      </t>
  </si>
  <si>
    <t>Жилищно-коммунальное хозяйство</t>
  </si>
  <si>
    <t>Доля многоквартирных домов, в  которых собственники помещений выбрали и реализуют один из способов управления многоквартирными домами, в общем числе многоквартирных домов, в которых собственники должны выбрать способ управления данными домами</t>
  </si>
  <si>
    <t xml:space="preserve">В 2018 году из 1907 многоквартирных домов, в которых собственники должны выбрать способ управления, из них:
    1) 75 домов управляются управляющими организациями по результатам проведенных администрацией города Орла открытых конкурсов, 
    2) 18 домов на 31.12.2018 года не имели договоров управления, т.к. в данных домах либо закончился срок действия договоров управления и управляющие организации не пролонгировали их на новый срок, либо расторгли в одностороннем порядке в связи с признанием дома в установленном порядке аварийным. Объявленные администрацией города Орла конкурсы по выбору управляющей организации на указанных 18 МКД не состоялись в связи с отсутствием заявок. </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</si>
  <si>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(муниципального района)</t>
  </si>
  <si>
    <t xml:space="preserve">По данным Управления по тарифам и ценовой политике в Орловской области в 2018 году  из перечня организации коммунального комплекса города Орла исключены 8 организаций, включены 3 организации. В итоге в расчет показателя вошли 33 организации коммунального комплекса, из них 31 организация, в уставном капитале которых доля государственной и муниципальной собственности менее 25%.  </t>
  </si>
  <si>
    <t xml:space="preserve"> Доля многоквартирных домов, расположенных на земельных участках, в отношении которых  осуществлен государственный кадастровый учет</t>
  </si>
  <si>
    <t>На территории города Орла земельные участки, на которых расположены многоквартирные дома, имеют кадастровый номер и являются ранее учтенными, т.е. в отношении них осуществлен государственный кадастровый учет.</t>
  </si>
  <si>
    <t xml:space="preserve"> Доля населения, получившего жилые помещения и улучшившие жилищные условия в отчетном году, в общей численности населения, состоящего на учете в качестве нуждающегося в жилых помещениях</t>
  </si>
  <si>
    <t>VIII. Организация муниципального управления</t>
  </si>
  <si>
    <t xml:space="preserve">  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</si>
  <si>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Доля налоговых и неналоговых доходов городского бюджета в общем объеме  доходов (за исключением субвенций) в 2018 году составила 59,5%. По сравнению с 2017 годом этот показатель уменьшился на 15,4  процентных пункта в результате увеличения  собственных доходов бюджета. По сравнению с 2017 годом собственные доходы бюджета увеличились на 835,2 млн.рублей (на 27,5%), из них налоговые и неналоговые доходы увеличились на 23,4 млн.рублей (на 1%).   
Высокие показатели 2019-2021 годов  обусловлены несопоставимостью объемов межбюджетных трансфертов (первоначально при утверждении бюджета доводятся, в основном субвенции на переданные полномочия, субсидии и иные межбюджетные трансферты выделяются в процессе исполнения бюджета, что к концу года снижает долю налоговых и неналоговых доходов).</t>
  </si>
  <si>
    <t xml:space="preserve">  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 </t>
  </si>
  <si>
    <t xml:space="preserve">В 2018 году в стадии банкротства находились 4 муниципальных предприятия: МУ ПАТП-1 (21,9 млн.рублей),  АО "Зеленый берег" (0,55 млн.рублей),  МУП "Совхоз "Коммунальник" (8,4 млн.рублей) и МУП "ДЭУ"(0,002 млн.рублей). Полная учетная стоимость основных фондов организаций муниципальной формы собственности на конец 2018 года  - 22291,7 млн.рублей </t>
  </si>
  <si>
    <t xml:space="preserve">Объем не завершенного в установленные сроки строительства, осуществляемого за счет средств бюджета городского округа  (муниципального района)     </t>
  </si>
  <si>
    <t xml:space="preserve">  тыс. рублей</t>
  </si>
  <si>
    <t xml:space="preserve"> 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t>
  </si>
  <si>
    <t>Доля просроченной кредиторской задолженности по оплате труда в размере 1,1% в 2018 году сложилась в связи с недофинансированием расходов по начислениям на заработную плату во внебюджетные фонды.</t>
  </si>
  <si>
    <t>Расходы бюджета   муниципального образования на  содержание работников органов   местного самоуправления в расчете на одного жителя -   всего</t>
  </si>
  <si>
    <t>Наличие в городском округе (муниципальном районе) утвержденного генерального плана городского округа (схемы территориального планирования муниципального района)</t>
  </si>
  <si>
    <t>да/нет</t>
  </si>
  <si>
    <t>да</t>
  </si>
  <si>
    <t>Генеральный план городского округа "Город Орел" утвержден решением Орловского городского Совета народных депутатов от 28.02.2008 №29/425-ГС.</t>
  </si>
  <si>
    <t>Удовлетворенность населения деятельностью органов местного самоуправления городского округа (муниципального района)</t>
  </si>
  <si>
    <t>процентов от числа опрошенных</t>
  </si>
  <si>
    <t>Численность на начало года</t>
  </si>
  <si>
    <t>Численность на конец года</t>
  </si>
  <si>
    <t xml:space="preserve"> Среднегодовая численность  постоянного населения     </t>
  </si>
  <si>
    <t xml:space="preserve">  тыс. человек</t>
  </si>
  <si>
    <t>В 2018 году миграционная убыль составила 1844 человек (в 2017 году убыль была 1642 чел.), естественная убыль составила 1839 человек (в 2017 году убыль была 1683 чел.)</t>
  </si>
  <si>
    <t>Энергосбережение и повышение энергетической эффективности</t>
  </si>
  <si>
    <t xml:space="preserve">  Удельная величина потребления энергетических  ресурсов в многоквартирных  домах:</t>
  </si>
  <si>
    <t>Показатель уменьшается в связи с тем, что в соответствии с Федеральным законом от 23.11.2009 №216-ФЗ в многоквартирных домах города Орла устанавливаются общедомовые и индивидуальные приборы учета энергоресурсов. Следует отметить, что снижение потребления электроэнергии в многоквартирных домах замедляется, так как новые высотные многоквартирные дома оборудуются электроплитами, и удельный вес многоквартирных домов, оборудованных газовыми приборами, уменьшается</t>
  </si>
  <si>
    <t xml:space="preserve">          электрическая энергия        </t>
  </si>
  <si>
    <t xml:space="preserve"> кВт·ч на 1 проживающего</t>
  </si>
  <si>
    <t xml:space="preserve">          тепловая энергия            </t>
  </si>
  <si>
    <t xml:space="preserve"> Гкал на 1 кв.  метр общей площади</t>
  </si>
  <si>
    <t xml:space="preserve">          горячая вода                </t>
  </si>
  <si>
    <t>куб. метров на 1 проживающего</t>
  </si>
  <si>
    <t xml:space="preserve">          холодная вода               </t>
  </si>
  <si>
    <t xml:space="preserve">          природный газ                  </t>
  </si>
  <si>
    <t xml:space="preserve"> Удельная величина потребления  энергетических ресурсов   муниципальными бюджетными  учреждениями</t>
  </si>
  <si>
    <t>Муниципальные бюджетные учреждения в 2018 году реализовывали мероприятия по энергосбережению  муниципальной программы "Энергосбережение и повышение энергетической эффективности в городе Орле на 2017-2019 годы". 
Увеличение  показателя потребления горячей воды и уменьшения показателя потребления холодной воды в 2018 году связано с изменениями в учете этих ресурсов в учреждениях образования. Увеличение расходов на электроэнергию и холодную воду в 2019 году обусловлено вводом в эксплуатацию  фонтанов в МБУК "ГПКиО" и МБУК "Детский парк" после реконструкции и ремонта в рамках муниципальной программы "Формирование современной городской среды на территории города Орла на 2018-2022 годы". Кроме того, рост в 2019-2021 годах удельных показателей потребления энергоресурсов в расчете на душу населения связано с прогнозируемым уменьшением численности населения.</t>
  </si>
  <si>
    <t xml:space="preserve">          электрическая энергия         </t>
  </si>
  <si>
    <t>кВт·ч на 1 человека  населения</t>
  </si>
  <si>
    <t xml:space="preserve">          тепловая энергия               </t>
  </si>
  <si>
    <t>Гкал на 1 кв. метр общей площади</t>
  </si>
  <si>
    <t xml:space="preserve">          горячая вода                  </t>
  </si>
  <si>
    <t>куб. метров на 1 человека населения</t>
  </si>
  <si>
    <t xml:space="preserve">          холодная вода                  </t>
  </si>
  <si>
    <t>исполнитель: З.Е. Кульпина, тел.47 48 68</t>
  </si>
  <si>
    <t xml:space="preserve">Начиная с 2017 года  показатель рассчитывается по данным Единого реестра субъектов среднего и малого предпринимательства ФНС России по состоянию на начало года, следующего за отчетным: в 2018 году  их было 14478 единиц (в 2017 году - 14488 единиц).  В 2019 году  прогнозируется  14570 единиц, в 2020 году — 14600 единиц, в 2021 году — 14620 единиц. До 2017 года расчет показателя производился по данным статистики: за  2015 год  по данным Государственного статистического регистра (14800 единиц), за 2016 год показатель приводится по итогам сплошного наблюдения Орелстата за деятельностью субъектов малого предпринимательства.
</t>
  </si>
  <si>
    <t>Расчет показателя произведен без учета трансфертов из областного бюджета. Рост показателя в 2018 году по сравнению с 2017 годом в основном связан с оплатой в 2018 году кредиторской задолженности учреждений образования за 2017 год.</t>
  </si>
  <si>
    <t xml:space="preserve">Расходы на содержание работников местного самоуправления в 2018 году по сравнению с 2017 годом уменьшились на 15542,4 тыс. рублей или на 5,0%. В 2019 году расходы запланированы с уменьшением на 72482 тыс.рублей по сравнению с 2018 годом или на 24,6% к фактическим расходам 2018 года.  </t>
  </si>
  <si>
    <t>41.</t>
  </si>
  <si>
    <t>Результаты независимой оценки качества условий оказания услуг муниципальными организациями в сферах культуры, охраны здоровья, образования, социального обслуживания и иными организациями,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(по данным официального сайта для размещения информации о государственных и муниципальных учреждениях в информационно-телекоммуникационной сети "Интернет") (при наличии):</t>
  </si>
  <si>
    <t>в сфере культуры</t>
  </si>
  <si>
    <t>баллы</t>
  </si>
  <si>
    <t>в сфере образования</t>
  </si>
  <si>
    <t>Данные показатель разрабатывается уполномоченными органами исполнительной государственной власти специальной компетенции Орловской области  в сферах культуры и образования  в соответстви с постановлением Правительства Орловской области от 16.01.2019 N 16 "Об утверждении Порядка и сроков размещения уполномоченными органами исполнительной государственной власти специальной компетенции Орловской области на своих официальных сайтах в информационно-телекоммуникационной сети Интернет информации о результатах независимой оценки качества условий оказания услуг организациями  в сфере культуры, охраны здоровья, образования, социального обслуживания.
Солгласно протоколу рабочей группы по оценке эффективности деятельности органов местного самоуправления городских округов и муниципальных районов Орловской области от 27.03.2019 года №1 значения данного показателя будут включаться в доклады по итогам  2019 года</t>
  </si>
  <si>
    <r>
      <t xml:space="preserve">Начиная с 2017 года  в расчете заработной платы </t>
    </r>
    <r>
      <rPr>
        <b/>
        <sz val="9"/>
        <rFont val="Times New Roman"/>
        <family val="1"/>
      </rPr>
      <t>муниципальных учреждений физической культуры и спорта</t>
    </r>
    <r>
      <rPr>
        <sz val="9"/>
        <rFont val="Times New Roman"/>
        <family val="1"/>
      </rPr>
      <t xml:space="preserve"> не включаются ДЮСШ. Это связано с перерегистрацией видов деятельности учреждений с ОКВЭД на ОКВЭД 2 в соответствии с приказом Росстандарта от 10.11.2015 N 1745-ст, в результате ДЮСШ перешли из данной категории в образовательные учреждения. Ретроспективный перерасчет Орелстатом не производился. В сопоставимых с 2016 годом условиях данный показатель в 2017 году составил бы 21448 рублей, в 2018 году - 24014 рублей.</t>
    </r>
  </si>
  <si>
    <t>Показатель определяется субъектом РФ в соответствии с Указом Губернатора Орловской области от 24.01.2019 №33. В 2017 году показатель не определялся</t>
  </si>
  <si>
    <t>8(1)</t>
  </si>
  <si>
    <t>8(2)</t>
  </si>
  <si>
    <t>8(3)</t>
  </si>
  <si>
    <t>8(4)</t>
  </si>
  <si>
    <t>8(5)</t>
  </si>
  <si>
    <t>8(6)</t>
  </si>
  <si>
    <t xml:space="preserve">       муниципальных учреждений культуры и искусства</t>
  </si>
  <si>
    <t xml:space="preserve"> В 2018 году улучшили жилищные условия 99 семей, на учете в качестве нуждающихся в жилых помещениях на конец 2017 года состояли 4500 семей  (в 2017 году - улучшили жилищные условия 147 семей, на учете в качестве нуждающихся в жилых помещениях на конец 2016 года состояли 4582 семьи). Уменьшение показателя в 2018 году обусловлено завершением в 2017 году областной адресной программы "Переселение граждан, проживающих на территории Орловской области, из аварийного жилищного фонда" на 2013-2017 годы. В дальнейшем планируется увеличение показателя в связи с утверждением Постановлением Правительства Орловской области от 29.03.2019 № 176 областной адресной программы "Переселение граждан, проживающих на территории Орловской области, из аварийного жилищного фонда" на 2019 - 2025 годы" и аналогичной муниципальной программы города Орла</t>
  </si>
  <si>
    <t>Расчет показателя произведен с учетом детей, занимающихся в областных учреждениях дополнительного образования,  расположенных на территории города Орла. С 2018 года показатель снижается в связи с тем, что в конце 2017 года учреждения дополнительного образования, подведомственные Управлению физической культуры и спорта Орловской области, были реорганизованы в организации спортивной подготовки, которые не предоставляют услуги по дополнительному образованию, а поэтому при расчете не учитывались. В 2018 году в муниципальных учреждениях дополнительного образования занимались 18139 детей, в школах искусств - 5022 ребенка, в областных учреждениях - 6756 детей.</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</si>
</sst>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
  </numFmts>
  <fonts count="58">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sz val="12"/>
      <name val="Times New Roman"/>
      <family val="1"/>
    </font>
    <font>
      <b/>
      <sz val="16"/>
      <name val="Times New Roman"/>
      <family val="1"/>
    </font>
    <font>
      <b/>
      <sz val="12"/>
      <name val="Times New Roman"/>
      <family val="1"/>
    </font>
    <font>
      <b/>
      <sz val="10"/>
      <name val="Times New Roman"/>
      <family val="1"/>
    </font>
    <font>
      <sz val="14"/>
      <color indexed="9"/>
      <name val="Times New Roman"/>
      <family val="1"/>
    </font>
    <font>
      <b/>
      <sz val="14"/>
      <name val="Times New Roman"/>
      <family val="1"/>
    </font>
    <font>
      <sz val="14"/>
      <name val="Times New Roman"/>
      <family val="1"/>
    </font>
    <font>
      <sz val="7"/>
      <name val="Times New Roman"/>
      <family val="1"/>
    </font>
    <font>
      <sz val="12"/>
      <name val="Arial Cyr"/>
      <family val="2"/>
    </font>
    <font>
      <sz val="8"/>
      <name val="Arial Cyr"/>
      <family val="2"/>
    </font>
    <font>
      <sz val="7"/>
      <name val="Arial Cyr"/>
      <family val="2"/>
    </font>
    <font>
      <sz val="14"/>
      <name val="Arial Cyr"/>
      <family val="2"/>
    </font>
    <font>
      <sz val="10"/>
      <color indexed="10"/>
      <name val="Arial Cyr"/>
      <family val="2"/>
    </font>
    <font>
      <vertAlign val="superscript"/>
      <sz val="12"/>
      <name val="Times New Roman"/>
      <family val="1"/>
    </font>
    <font>
      <sz val="8"/>
      <name val="Times New Roman"/>
      <family val="1"/>
    </font>
    <font>
      <b/>
      <sz val="9"/>
      <color indexed="8"/>
      <name val="Tahoma"/>
      <family val="2"/>
    </font>
    <font>
      <sz val="9"/>
      <color indexed="8"/>
      <name val="Tahoma"/>
      <family val="2"/>
    </font>
    <font>
      <sz val="12"/>
      <color indexed="10"/>
      <name val="Times New Roman"/>
      <family val="1"/>
    </font>
    <font>
      <sz val="7"/>
      <color indexed="10"/>
      <name val="Times New Roman"/>
      <family val="1"/>
    </font>
    <font>
      <sz val="10"/>
      <color indexed="10"/>
      <name val="Times New Roman"/>
      <family val="1"/>
    </font>
    <font>
      <sz val="7"/>
      <color indexed="10"/>
      <name val="Arial Cyr"/>
      <family val="2"/>
    </font>
    <font>
      <sz val="10"/>
      <color indexed="12"/>
      <name val="Times New Roman"/>
      <family val="1"/>
    </font>
    <font>
      <sz val="12"/>
      <color indexed="12"/>
      <name val="Times New Roman"/>
      <family val="1"/>
    </font>
    <font>
      <sz val="7"/>
      <color indexed="12"/>
      <name val="Times New Roman"/>
      <family val="1"/>
    </font>
    <font>
      <sz val="12"/>
      <color indexed="10"/>
      <name val="Arial Cyr"/>
      <family val="2"/>
    </font>
    <font>
      <sz val="10"/>
      <color indexed="9"/>
      <name val="Times New Roman"/>
      <family val="1"/>
    </font>
    <font>
      <sz val="10"/>
      <color indexed="9"/>
      <name val="Arial Cyr"/>
      <family val="2"/>
    </font>
    <font>
      <sz val="7"/>
      <color indexed="9"/>
      <name val="Arial Cyr"/>
      <family val="2"/>
    </font>
    <font>
      <sz val="12"/>
      <color indexed="8"/>
      <name val="Times New Roman"/>
      <family val="1"/>
    </font>
    <font>
      <sz val="9"/>
      <name val="Times New Roman"/>
      <family val="1"/>
    </font>
    <font>
      <sz val="9"/>
      <name val="Arial Cyr"/>
      <family val="2"/>
    </font>
    <font>
      <b/>
      <sz val="9"/>
      <name val="Times New Roman"/>
      <family val="1"/>
    </font>
    <font>
      <sz val="9"/>
      <color indexed="10"/>
      <name val="Times New Roman"/>
      <family val="1"/>
    </font>
    <font>
      <sz val="9"/>
      <color indexed="12"/>
      <name val="Times New Roman"/>
      <family val="1"/>
    </font>
    <font>
      <sz val="9"/>
      <color indexed="10"/>
      <name val="Arial Cyr"/>
      <family val="2"/>
    </font>
    <font>
      <sz val="9"/>
      <color indexed="9"/>
      <name val="Arial Cyr"/>
      <family val="2"/>
    </font>
    <font>
      <sz val="11"/>
      <color theme="1"/>
      <name val="Calibri"/>
      <family val="2"/>
    </font>
    <font>
      <b/>
      <sz val="8"/>
      <name val="Arial Cyr"/>
      <family val="2"/>
    </font>
  </fonts>
  <fills count="4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bottom style="thin">
        <color indexed="8"/>
      </bottom>
    </border>
    <border>
      <left>
        <color indexed="63"/>
      </left>
      <right style="thin"/>
      <top style="thin"/>
      <bottom style="thin">
        <color indexed="8"/>
      </bottom>
    </border>
    <border>
      <left style="thin">
        <color indexed="8"/>
      </left>
      <right style="thin">
        <color indexed="8"/>
      </right>
      <top>
        <color indexed="63"/>
      </top>
      <bottom style="thin">
        <color indexed="8"/>
      </bottom>
    </border>
    <border>
      <left style="thin">
        <color indexed="8"/>
      </left>
      <right style="thin"/>
      <top style="thin"/>
      <bottom style="thin">
        <color indexed="8"/>
      </bottom>
    </border>
    <border>
      <left style="thin">
        <color indexed="8"/>
      </left>
      <right style="thin"/>
      <top style="thin">
        <color indexed="8"/>
      </top>
      <bottom style="thin">
        <color indexed="8"/>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56" fillId="3" borderId="0" applyNumberFormat="0" applyBorder="0" applyAlignment="0" applyProtection="0"/>
    <xf numFmtId="0" fontId="2" fillId="4" borderId="0" applyNumberFormat="0" applyBorder="0" applyAlignment="0" applyProtection="0"/>
    <xf numFmtId="0" fontId="56" fillId="5" borderId="0" applyNumberFormat="0" applyBorder="0" applyAlignment="0" applyProtection="0"/>
    <xf numFmtId="0" fontId="2" fillId="6" borderId="0" applyNumberFormat="0" applyBorder="0" applyAlignment="0" applyProtection="0"/>
    <xf numFmtId="0" fontId="56" fillId="7" borderId="0" applyNumberFormat="0" applyBorder="0" applyAlignment="0" applyProtection="0"/>
    <xf numFmtId="0" fontId="2" fillId="8" borderId="0" applyNumberFormat="0" applyBorder="0" applyAlignment="0" applyProtection="0"/>
    <xf numFmtId="0" fontId="56" fillId="9" borderId="0" applyNumberFormat="0" applyBorder="0" applyAlignment="0" applyProtection="0"/>
    <xf numFmtId="0" fontId="2" fillId="10" borderId="0" applyNumberFormat="0" applyBorder="0" applyAlignment="0" applyProtection="0"/>
    <xf numFmtId="0" fontId="56" fillId="11" borderId="0" applyNumberFormat="0" applyBorder="0" applyAlignment="0" applyProtection="0"/>
    <xf numFmtId="0" fontId="2" fillId="12" borderId="0" applyNumberFormat="0" applyBorder="0" applyAlignment="0" applyProtection="0"/>
    <xf numFmtId="0" fontId="56" fillId="13" borderId="0" applyNumberFormat="0" applyBorder="0" applyAlignment="0" applyProtection="0"/>
    <xf numFmtId="0" fontId="2" fillId="14" borderId="0" applyNumberFormat="0" applyBorder="0" applyAlignment="0" applyProtection="0"/>
    <xf numFmtId="0" fontId="56" fillId="15" borderId="0" applyNumberFormat="0" applyBorder="0" applyAlignment="0" applyProtection="0"/>
    <xf numFmtId="0" fontId="2" fillId="16" borderId="0" applyNumberFormat="0" applyBorder="0" applyAlignment="0" applyProtection="0"/>
    <xf numFmtId="0" fontId="56" fillId="17" borderId="0" applyNumberFormat="0" applyBorder="0" applyAlignment="0" applyProtection="0"/>
    <xf numFmtId="0" fontId="2" fillId="18" borderId="0" applyNumberFormat="0" applyBorder="0" applyAlignment="0" applyProtection="0"/>
    <xf numFmtId="0" fontId="56" fillId="19" borderId="0" applyNumberFormat="0" applyBorder="0" applyAlignment="0" applyProtection="0"/>
    <xf numFmtId="0" fontId="2" fillId="8" borderId="0" applyNumberFormat="0" applyBorder="0" applyAlignment="0" applyProtection="0"/>
    <xf numFmtId="0" fontId="56" fillId="20" borderId="0" applyNumberFormat="0" applyBorder="0" applyAlignment="0" applyProtection="0"/>
    <xf numFmtId="0" fontId="2" fillId="14" borderId="0" applyNumberFormat="0" applyBorder="0" applyAlignment="0" applyProtection="0"/>
    <xf numFmtId="0" fontId="56" fillId="21" borderId="0" applyNumberFormat="0" applyBorder="0" applyAlignment="0" applyProtection="0"/>
    <xf numFmtId="0" fontId="2" fillId="22" borderId="0" applyNumberFormat="0" applyBorder="0" applyAlignment="0" applyProtection="0"/>
    <xf numFmtId="0" fontId="56" fillId="23" borderId="0" applyNumberFormat="0" applyBorder="0" applyAlignment="0" applyProtection="0"/>
    <xf numFmtId="0" fontId="3" fillId="24" borderId="0" applyNumberFormat="0" applyBorder="0" applyAlignment="0" applyProtection="0"/>
    <xf numFmtId="0" fontId="56" fillId="25" borderId="0" applyNumberFormat="0" applyBorder="0" applyAlignment="0" applyProtection="0"/>
    <xf numFmtId="0" fontId="3" fillId="16" borderId="0" applyNumberFormat="0" applyBorder="0" applyAlignment="0" applyProtection="0"/>
    <xf numFmtId="0" fontId="56" fillId="26" borderId="0" applyNumberFormat="0" applyBorder="0" applyAlignment="0" applyProtection="0"/>
    <xf numFmtId="0" fontId="3" fillId="18" borderId="0" applyNumberFormat="0" applyBorder="0" applyAlignment="0" applyProtection="0"/>
    <xf numFmtId="0" fontId="56" fillId="27" borderId="0" applyNumberFormat="0" applyBorder="0" applyAlignment="0" applyProtection="0"/>
    <xf numFmtId="0" fontId="3" fillId="28" borderId="0" applyNumberFormat="0" applyBorder="0" applyAlignment="0" applyProtection="0"/>
    <xf numFmtId="0" fontId="56" fillId="29" borderId="0" applyNumberFormat="0" applyBorder="0" applyAlignment="0" applyProtection="0"/>
    <xf numFmtId="0" fontId="3" fillId="30" borderId="0" applyNumberFormat="0" applyBorder="0" applyAlignment="0" applyProtection="0"/>
    <xf numFmtId="0" fontId="56" fillId="31" borderId="0" applyNumberFormat="0" applyBorder="0" applyAlignment="0" applyProtection="0"/>
    <xf numFmtId="0" fontId="3" fillId="32" borderId="0" applyNumberFormat="0" applyBorder="0" applyAlignment="0" applyProtection="0"/>
    <xf numFmtId="0" fontId="5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7" borderId="0" applyNumberFormat="0" applyBorder="0" applyAlignment="0" applyProtection="0"/>
    <xf numFmtId="0" fontId="4" fillId="12" borderId="1" applyNumberFormat="0" applyAlignment="0" applyProtection="0"/>
    <xf numFmtId="0" fontId="5" fillId="38" borderId="2" applyNumberFormat="0" applyAlignment="0" applyProtection="0"/>
    <xf numFmtId="0" fontId="6" fillId="38"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39" borderId="7" applyNumberFormat="0" applyAlignment="0" applyProtection="0"/>
    <xf numFmtId="0" fontId="12" fillId="0" borderId="0" applyNumberFormat="0" applyFill="0" applyBorder="0" applyAlignment="0" applyProtection="0"/>
    <xf numFmtId="0" fontId="13" fillId="40" borderId="0" applyNumberFormat="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0" fontId="0" fillId="41"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6" borderId="0" applyNumberFormat="0" applyBorder="0" applyAlignment="0" applyProtection="0"/>
  </cellStyleXfs>
  <cellXfs count="187">
    <xf numFmtId="0" fontId="0" fillId="0" borderId="0" xfId="0" applyAlignment="1">
      <alignment/>
    </xf>
    <xf numFmtId="0" fontId="19" fillId="0" borderId="0" xfId="0" applyFont="1" applyFill="1" applyAlignment="1">
      <alignment horizontal="center" vertical="top" wrapText="1"/>
    </xf>
    <xf numFmtId="0" fontId="20" fillId="0" borderId="0" xfId="0" applyFont="1" applyFill="1" applyAlignment="1">
      <alignment wrapText="1"/>
    </xf>
    <xf numFmtId="0" fontId="20" fillId="0" borderId="0" xfId="0" applyFont="1" applyFill="1" applyAlignment="1">
      <alignment horizontal="center" wrapText="1"/>
    </xf>
    <xf numFmtId="0" fontId="19" fillId="0" borderId="0" xfId="0" applyFont="1" applyFill="1" applyAlignment="1">
      <alignment wrapText="1"/>
    </xf>
    <xf numFmtId="0" fontId="22" fillId="0" borderId="0" xfId="0" applyFont="1" applyFill="1" applyAlignment="1">
      <alignment wrapText="1"/>
    </xf>
    <xf numFmtId="0" fontId="22" fillId="0" borderId="0" xfId="0" applyFont="1" applyFill="1" applyAlignment="1">
      <alignment horizontal="center" wrapText="1"/>
    </xf>
    <xf numFmtId="0" fontId="23" fillId="0" borderId="0" xfId="0" applyFont="1" applyFill="1" applyAlignment="1">
      <alignment wrapText="1"/>
    </xf>
    <xf numFmtId="0" fontId="25" fillId="0" borderId="0" xfId="0" applyFont="1" applyFill="1" applyAlignment="1">
      <alignment horizontal="center" wrapText="1"/>
    </xf>
    <xf numFmtId="0" fontId="25" fillId="0" borderId="0" xfId="0" applyFont="1" applyFill="1" applyAlignment="1">
      <alignment wrapText="1"/>
    </xf>
    <xf numFmtId="0" fontId="23" fillId="0" borderId="0" xfId="0" applyFont="1" applyFill="1" applyAlignment="1">
      <alignment horizontal="center" wrapText="1"/>
    </xf>
    <xf numFmtId="0" fontId="26" fillId="0" borderId="0" xfId="0" applyFont="1" applyFill="1" applyAlignment="1">
      <alignment horizontal="center" wrapText="1"/>
    </xf>
    <xf numFmtId="0" fontId="19" fillId="0" borderId="0" xfId="0" applyFont="1" applyFill="1" applyAlignment="1">
      <alignment horizontal="center" wrapText="1"/>
    </xf>
    <xf numFmtId="0" fontId="26" fillId="0" borderId="0" xfId="0" applyFont="1" applyFill="1" applyAlignment="1">
      <alignment wrapText="1"/>
    </xf>
    <xf numFmtId="0" fontId="26" fillId="0" borderId="0" xfId="0" applyFont="1" applyFill="1" applyAlignment="1">
      <alignment horizontal="right" wrapText="1"/>
    </xf>
    <xf numFmtId="0" fontId="19" fillId="0" borderId="0" xfId="0" applyFont="1" applyFill="1" applyAlignment="1">
      <alignment horizontal="center" vertical="top"/>
    </xf>
    <xf numFmtId="0" fontId="27" fillId="0" borderId="0" xfId="0" applyFont="1" applyFill="1" applyAlignment="1">
      <alignment horizontal="center" wrapText="1"/>
    </xf>
    <xf numFmtId="0" fontId="0" fillId="0" borderId="0" xfId="0" applyFill="1" applyAlignment="1">
      <alignment/>
    </xf>
    <xf numFmtId="0" fontId="28" fillId="0" borderId="0" xfId="0" applyFont="1" applyFill="1" applyAlignment="1">
      <alignment/>
    </xf>
    <xf numFmtId="0" fontId="30" fillId="0" borderId="0" xfId="0" applyFont="1" applyFill="1" applyAlignment="1">
      <alignment vertical="top"/>
    </xf>
    <xf numFmtId="0" fontId="31" fillId="0" borderId="0" xfId="0" applyFont="1" applyFill="1" applyAlignment="1">
      <alignment/>
    </xf>
    <xf numFmtId="0" fontId="27" fillId="0" borderId="10" xfId="0" applyFont="1" applyFill="1" applyBorder="1" applyAlignment="1">
      <alignment horizontal="center" vertical="center"/>
    </xf>
    <xf numFmtId="0" fontId="0" fillId="0" borderId="11" xfId="0" applyFill="1" applyBorder="1" applyAlignment="1">
      <alignment vertical="center"/>
    </xf>
    <xf numFmtId="0" fontId="0" fillId="0" borderId="0" xfId="0" applyFill="1" applyAlignment="1">
      <alignment vertical="center"/>
    </xf>
    <xf numFmtId="0" fontId="0" fillId="0" borderId="0" xfId="0" applyFill="1" applyAlignment="1">
      <alignment/>
    </xf>
    <xf numFmtId="0" fontId="19" fillId="0" borderId="10" xfId="0" applyFont="1" applyFill="1" applyBorder="1" applyAlignment="1">
      <alignment horizontal="center" vertical="top"/>
    </xf>
    <xf numFmtId="0" fontId="20" fillId="0" borderId="10" xfId="0" applyFont="1" applyFill="1" applyBorder="1" applyAlignment="1">
      <alignment vertical="top" wrapText="1"/>
    </xf>
    <xf numFmtId="0" fontId="27" fillId="0" borderId="10" xfId="0" applyFont="1" applyFill="1" applyBorder="1" applyAlignment="1">
      <alignment horizontal="center" vertical="top" wrapText="1"/>
    </xf>
    <xf numFmtId="164" fontId="19" fillId="0" borderId="10" xfId="0" applyNumberFormat="1" applyFont="1" applyFill="1" applyBorder="1" applyAlignment="1" applyProtection="1">
      <alignment vertical="top" wrapText="1"/>
      <protection locked="0"/>
    </xf>
    <xf numFmtId="164" fontId="20" fillId="0" borderId="10" xfId="0" applyNumberFormat="1" applyFont="1" applyFill="1" applyBorder="1" applyAlignment="1" applyProtection="1">
      <alignment vertical="top" wrapText="1"/>
      <protection locked="0"/>
    </xf>
    <xf numFmtId="0" fontId="19" fillId="40" borderId="10" xfId="0" applyFont="1" applyFill="1" applyBorder="1" applyAlignment="1">
      <alignment horizontal="center" vertical="top"/>
    </xf>
    <xf numFmtId="0" fontId="37" fillId="40" borderId="10" xfId="0" applyFont="1" applyFill="1" applyBorder="1" applyAlignment="1">
      <alignment vertical="top" wrapText="1"/>
    </xf>
    <xf numFmtId="0" fontId="38" fillId="40" borderId="10" xfId="0" applyFont="1" applyFill="1" applyBorder="1" applyAlignment="1">
      <alignment horizontal="center" vertical="top" wrapText="1"/>
    </xf>
    <xf numFmtId="0" fontId="37" fillId="40" borderId="10" xfId="0" applyFont="1" applyFill="1" applyBorder="1" applyAlignment="1">
      <alignment horizontal="center" vertical="top" wrapText="1"/>
    </xf>
    <xf numFmtId="1" fontId="37" fillId="40" borderId="10" xfId="0" applyNumberFormat="1" applyFont="1" applyFill="1" applyBorder="1" applyAlignment="1">
      <alignment horizontal="center" vertical="top" wrapText="1"/>
    </xf>
    <xf numFmtId="1" fontId="37" fillId="0" borderId="10" xfId="0" applyNumberFormat="1" applyFont="1" applyFill="1" applyBorder="1" applyAlignment="1">
      <alignment horizontal="center" vertical="top" wrapText="1"/>
    </xf>
    <xf numFmtId="0" fontId="37" fillId="0" borderId="10" xfId="0" applyFont="1" applyFill="1" applyBorder="1" applyAlignment="1">
      <alignment horizontal="center" vertical="top" wrapText="1"/>
    </xf>
    <xf numFmtId="1" fontId="20" fillId="0" borderId="10" xfId="0" applyNumberFormat="1" applyFont="1" applyFill="1" applyBorder="1" applyAlignment="1" applyProtection="1">
      <alignment vertical="top" wrapText="1"/>
      <protection locked="0"/>
    </xf>
    <xf numFmtId="165" fontId="1" fillId="0" borderId="0" xfId="73" applyNumberFormat="1" applyFill="1" applyBorder="1" applyAlignment="1" applyProtection="1">
      <alignment vertical="top"/>
      <protection/>
    </xf>
    <xf numFmtId="0" fontId="19" fillId="0" borderId="10" xfId="0" applyFont="1" applyFill="1" applyBorder="1" applyAlignment="1" applyProtection="1">
      <alignment vertical="top" wrapText="1"/>
      <protection locked="0"/>
    </xf>
    <xf numFmtId="0" fontId="20" fillId="0" borderId="10" xfId="0" applyFont="1" applyFill="1" applyBorder="1" applyAlignment="1" applyProtection="1">
      <alignment vertical="top" wrapText="1"/>
      <protection locked="0"/>
    </xf>
    <xf numFmtId="0" fontId="0" fillId="0" borderId="10" xfId="0" applyFill="1" applyBorder="1" applyAlignment="1" applyProtection="1">
      <alignment vertical="top"/>
      <protection locked="0"/>
    </xf>
    <xf numFmtId="0" fontId="28" fillId="0" borderId="10" xfId="0" applyFont="1" applyFill="1" applyBorder="1" applyAlignment="1" applyProtection="1">
      <alignment vertical="top"/>
      <protection locked="0"/>
    </xf>
    <xf numFmtId="0" fontId="37" fillId="0" borderId="10" xfId="0" applyFont="1" applyFill="1" applyBorder="1" applyAlignment="1">
      <alignment vertical="top" wrapText="1"/>
    </xf>
    <xf numFmtId="1" fontId="37" fillId="0" borderId="10" xfId="0" applyNumberFormat="1" applyFont="1" applyFill="1" applyBorder="1" applyAlignment="1" applyProtection="1">
      <alignment vertical="top" wrapText="1"/>
      <protection locked="0"/>
    </xf>
    <xf numFmtId="0" fontId="39" fillId="0" borderId="10" xfId="0" applyFont="1" applyFill="1" applyBorder="1" applyAlignment="1">
      <alignment horizontal="center" vertical="top"/>
    </xf>
    <xf numFmtId="0" fontId="38" fillId="0" borderId="10" xfId="0" applyFont="1" applyFill="1" applyBorder="1" applyAlignment="1">
      <alignment horizontal="center" vertical="top" wrapText="1"/>
    </xf>
    <xf numFmtId="164" fontId="39" fillId="0" borderId="10" xfId="0" applyNumberFormat="1" applyFont="1" applyFill="1" applyBorder="1" applyAlignment="1" applyProtection="1">
      <alignment vertical="top" wrapText="1"/>
      <protection locked="0"/>
    </xf>
    <xf numFmtId="0" fontId="32" fillId="0" borderId="0" xfId="0" applyFont="1" applyFill="1" applyAlignment="1">
      <alignment/>
    </xf>
    <xf numFmtId="0" fontId="40" fillId="0" borderId="0" xfId="0" applyFont="1" applyFill="1" applyAlignment="1">
      <alignment vertical="top"/>
    </xf>
    <xf numFmtId="0" fontId="19" fillId="42" borderId="10" xfId="0" applyFont="1" applyFill="1" applyBorder="1" applyAlignment="1">
      <alignment horizontal="center" vertical="top"/>
    </xf>
    <xf numFmtId="0" fontId="20" fillId="42" borderId="10" xfId="0" applyFont="1" applyFill="1" applyBorder="1" applyAlignment="1">
      <alignment vertical="top" wrapText="1"/>
    </xf>
    <xf numFmtId="0" fontId="27" fillId="42" borderId="10" xfId="0" applyFont="1" applyFill="1" applyBorder="1" applyAlignment="1">
      <alignment horizontal="center" vertical="top" wrapText="1"/>
    </xf>
    <xf numFmtId="1" fontId="19" fillId="42" borderId="10" xfId="0" applyNumberFormat="1" applyFont="1" applyFill="1" applyBorder="1" applyAlignment="1" applyProtection="1">
      <alignment vertical="top" wrapText="1"/>
      <protection locked="0"/>
    </xf>
    <xf numFmtId="1" fontId="20" fillId="42" borderId="10" xfId="0" applyNumberFormat="1" applyFont="1" applyFill="1" applyBorder="1" applyAlignment="1" applyProtection="1">
      <alignment vertical="top" wrapText="1"/>
      <protection locked="0"/>
    </xf>
    <xf numFmtId="164" fontId="20" fillId="42" borderId="10" xfId="0" applyNumberFormat="1" applyFont="1" applyFill="1" applyBorder="1" applyAlignment="1" applyProtection="1">
      <alignment vertical="top" wrapText="1"/>
      <protection locked="0"/>
    </xf>
    <xf numFmtId="0" fontId="27" fillId="40" borderId="10" xfId="0" applyFont="1" applyFill="1" applyBorder="1" applyAlignment="1">
      <alignment horizontal="center" vertical="top" wrapText="1"/>
    </xf>
    <xf numFmtId="164" fontId="19" fillId="40" borderId="10" xfId="0" applyNumberFormat="1" applyFont="1" applyFill="1" applyBorder="1" applyAlignment="1" applyProtection="1">
      <alignment vertical="top" wrapText="1"/>
      <protection locked="0"/>
    </xf>
    <xf numFmtId="1" fontId="20" fillId="40" borderId="10" xfId="0" applyNumberFormat="1" applyFont="1" applyFill="1" applyBorder="1" applyAlignment="1" applyProtection="1">
      <alignment vertical="top" wrapText="1"/>
      <protection locked="0"/>
    </xf>
    <xf numFmtId="1" fontId="37" fillId="40" borderId="10" xfId="0" applyNumberFormat="1" applyFont="1" applyFill="1" applyBorder="1" applyAlignment="1" applyProtection="1">
      <alignment vertical="top" wrapText="1"/>
      <protection locked="0"/>
    </xf>
    <xf numFmtId="0" fontId="0" fillId="40" borderId="0" xfId="0" applyFill="1" applyAlignment="1">
      <alignment/>
    </xf>
    <xf numFmtId="0" fontId="30" fillId="40" borderId="0" xfId="0" applyFont="1" applyFill="1" applyAlignment="1">
      <alignment vertical="top"/>
    </xf>
    <xf numFmtId="0" fontId="37" fillId="42" borderId="10" xfId="0" applyFont="1" applyFill="1" applyBorder="1" applyAlignment="1">
      <alignment vertical="top" wrapText="1"/>
    </xf>
    <xf numFmtId="0" fontId="38" fillId="42" borderId="10" xfId="0" applyFont="1" applyFill="1" applyBorder="1" applyAlignment="1">
      <alignment horizontal="center" vertical="top" wrapText="1"/>
    </xf>
    <xf numFmtId="164" fontId="39" fillId="42" borderId="10" xfId="0" applyNumberFormat="1" applyFont="1" applyFill="1" applyBorder="1" applyAlignment="1" applyProtection="1">
      <alignment vertical="top" wrapText="1"/>
      <protection locked="0"/>
    </xf>
    <xf numFmtId="1" fontId="37" fillId="42" borderId="10" xfId="0" applyNumberFormat="1" applyFont="1" applyFill="1" applyBorder="1" applyAlignment="1" applyProtection="1">
      <alignment vertical="top" wrapText="1"/>
      <protection locked="0"/>
    </xf>
    <xf numFmtId="0" fontId="0" fillId="42" borderId="0" xfId="0" applyFill="1" applyAlignment="1">
      <alignment/>
    </xf>
    <xf numFmtId="0" fontId="30" fillId="42" borderId="0" xfId="0" applyFont="1" applyFill="1" applyAlignment="1">
      <alignment vertical="top"/>
    </xf>
    <xf numFmtId="164" fontId="19" fillId="42" borderId="10" xfId="0" applyNumberFormat="1" applyFont="1" applyFill="1" applyBorder="1" applyAlignment="1" applyProtection="1">
      <alignment vertical="top" wrapText="1"/>
      <protection locked="0"/>
    </xf>
    <xf numFmtId="0" fontId="20" fillId="42" borderId="10" xfId="0" applyFont="1" applyFill="1" applyBorder="1" applyAlignment="1" applyProtection="1">
      <alignment vertical="top" wrapText="1"/>
      <protection locked="0"/>
    </xf>
    <xf numFmtId="1" fontId="19" fillId="0" borderId="10" xfId="0" applyNumberFormat="1" applyFont="1" applyFill="1" applyBorder="1" applyAlignment="1">
      <alignment horizontal="center" vertical="top"/>
    </xf>
    <xf numFmtId="164" fontId="20" fillId="0" borderId="10" xfId="0" applyNumberFormat="1" applyFont="1" applyFill="1" applyBorder="1" applyAlignment="1">
      <alignment vertical="top" wrapText="1"/>
    </xf>
    <xf numFmtId="164" fontId="27" fillId="0" borderId="10" xfId="0" applyNumberFormat="1" applyFont="1" applyFill="1" applyBorder="1" applyAlignment="1">
      <alignment horizontal="center" vertical="top" wrapText="1"/>
    </xf>
    <xf numFmtId="2" fontId="20" fillId="0" borderId="10" xfId="0" applyNumberFormat="1" applyFont="1" applyFill="1" applyBorder="1" applyAlignment="1" applyProtection="1">
      <alignment vertical="top" wrapText="1"/>
      <protection locked="0"/>
    </xf>
    <xf numFmtId="164" fontId="0" fillId="0" borderId="0" xfId="0" applyNumberFormat="1" applyFill="1" applyAlignment="1">
      <alignment/>
    </xf>
    <xf numFmtId="164" fontId="30" fillId="0" borderId="0" xfId="0" applyNumberFormat="1" applyFont="1" applyFill="1" applyAlignment="1">
      <alignment vertical="top"/>
    </xf>
    <xf numFmtId="1" fontId="39" fillId="0" borderId="10" xfId="0" applyNumberFormat="1" applyFont="1" applyFill="1" applyBorder="1" applyAlignment="1" applyProtection="1">
      <alignment vertical="top" wrapText="1"/>
      <protection locked="0"/>
    </xf>
    <xf numFmtId="0" fontId="39" fillId="40" borderId="10" xfId="0" applyFont="1" applyFill="1" applyBorder="1" applyAlignment="1">
      <alignment horizontal="center" vertical="top"/>
    </xf>
    <xf numFmtId="1" fontId="39" fillId="40" borderId="10" xfId="0" applyNumberFormat="1" applyFont="1" applyFill="1" applyBorder="1" applyAlignment="1" applyProtection="1">
      <alignment vertical="top" wrapText="1"/>
      <protection locked="0"/>
    </xf>
    <xf numFmtId="1" fontId="19" fillId="0" borderId="10" xfId="0" applyNumberFormat="1" applyFont="1" applyFill="1" applyBorder="1" applyAlignment="1" applyProtection="1">
      <alignment vertical="top" wrapText="1"/>
      <protection locked="0"/>
    </xf>
    <xf numFmtId="0" fontId="41" fillId="42" borderId="10" xfId="0" applyFont="1" applyFill="1" applyBorder="1" applyAlignment="1">
      <alignment horizontal="center" vertical="top"/>
    </xf>
    <xf numFmtId="0" fontId="42" fillId="42" borderId="10" xfId="0" applyFont="1" applyFill="1" applyBorder="1" applyAlignment="1">
      <alignment vertical="top" wrapText="1"/>
    </xf>
    <xf numFmtId="0" fontId="43" fillId="42" borderId="10" xfId="0" applyFont="1" applyFill="1" applyBorder="1" applyAlignment="1">
      <alignment horizontal="center" vertical="top" wrapText="1"/>
    </xf>
    <xf numFmtId="1" fontId="41" fillId="42" borderId="10" xfId="0" applyNumberFormat="1" applyFont="1" applyFill="1" applyBorder="1" applyAlignment="1" applyProtection="1">
      <alignment vertical="top" wrapText="1"/>
      <protection locked="0"/>
    </xf>
    <xf numFmtId="1" fontId="42" fillId="42" borderId="10" xfId="0" applyNumberFormat="1" applyFont="1" applyFill="1" applyBorder="1" applyAlignment="1" applyProtection="1">
      <alignment vertical="top" wrapText="1"/>
      <protection locked="0"/>
    </xf>
    <xf numFmtId="1" fontId="42" fillId="0" borderId="10" xfId="0" applyNumberFormat="1" applyFont="1" applyFill="1" applyBorder="1" applyAlignment="1" applyProtection="1">
      <alignment vertical="top" wrapText="1"/>
      <protection locked="0"/>
    </xf>
    <xf numFmtId="0" fontId="32" fillId="42" borderId="0" xfId="0" applyFont="1" applyFill="1" applyAlignment="1">
      <alignment/>
    </xf>
    <xf numFmtId="0" fontId="40" fillId="42" borderId="0" xfId="0" applyFont="1" applyFill="1" applyAlignment="1">
      <alignment vertical="top"/>
    </xf>
    <xf numFmtId="164" fontId="20" fillId="42" borderId="10" xfId="0" applyNumberFormat="1" applyFont="1" applyFill="1" applyBorder="1" applyAlignment="1" applyProtection="1">
      <alignment horizontal="right" vertical="top" wrapText="1"/>
      <protection locked="0"/>
    </xf>
    <xf numFmtId="0" fontId="39" fillId="42" borderId="10" xfId="0" applyFont="1" applyFill="1" applyBorder="1" applyAlignment="1">
      <alignment horizontal="center" vertical="top"/>
    </xf>
    <xf numFmtId="1" fontId="39" fillId="42" borderId="10" xfId="0" applyNumberFormat="1" applyFont="1" applyFill="1" applyBorder="1" applyAlignment="1" applyProtection="1">
      <alignment vertical="top" wrapText="1"/>
      <protection locked="0"/>
    </xf>
    <xf numFmtId="2" fontId="19" fillId="0" borderId="10" xfId="0" applyNumberFormat="1" applyFont="1" applyFill="1" applyBorder="1" applyAlignment="1" applyProtection="1">
      <alignment vertical="top" wrapText="1"/>
      <protection locked="0"/>
    </xf>
    <xf numFmtId="166" fontId="19" fillId="0" borderId="10" xfId="0" applyNumberFormat="1" applyFont="1" applyFill="1" applyBorder="1" applyAlignment="1" applyProtection="1">
      <alignment vertical="top" wrapText="1"/>
      <protection locked="0"/>
    </xf>
    <xf numFmtId="166" fontId="20" fillId="0" borderId="10" xfId="0" applyNumberFormat="1" applyFont="1" applyFill="1" applyBorder="1" applyAlignment="1" applyProtection="1">
      <alignment vertical="top" wrapText="1"/>
      <protection locked="0"/>
    </xf>
    <xf numFmtId="1" fontId="20" fillId="0" borderId="11" xfId="0" applyNumberFormat="1" applyFont="1" applyFill="1" applyBorder="1" applyAlignment="1" applyProtection="1">
      <alignment vertical="top" wrapText="1"/>
      <protection locked="0"/>
    </xf>
    <xf numFmtId="0" fontId="31" fillId="0" borderId="0" xfId="0" applyFont="1" applyFill="1" applyAlignment="1">
      <alignment vertical="top"/>
    </xf>
    <xf numFmtId="0" fontId="0" fillId="0" borderId="10" xfId="0" applyFill="1" applyBorder="1" applyAlignment="1">
      <alignment vertical="top"/>
    </xf>
    <xf numFmtId="0" fontId="28" fillId="0" borderId="10" xfId="0" applyFont="1" applyFill="1" applyBorder="1" applyAlignment="1">
      <alignment vertical="top"/>
    </xf>
    <xf numFmtId="2" fontId="28" fillId="0" borderId="10" xfId="0" applyNumberFormat="1" applyFont="1" applyFill="1" applyBorder="1" applyAlignment="1">
      <alignment vertical="top"/>
    </xf>
    <xf numFmtId="2" fontId="28" fillId="0" borderId="11" xfId="0" applyNumberFormat="1" applyFont="1" applyFill="1" applyBorder="1" applyAlignment="1">
      <alignment vertical="top"/>
    </xf>
    <xf numFmtId="0" fontId="20" fillId="0" borderId="10" xfId="0" applyFont="1" applyFill="1" applyBorder="1" applyAlignment="1" applyProtection="1">
      <alignment horizontal="right" vertical="top" wrapText="1"/>
      <protection locked="0"/>
    </xf>
    <xf numFmtId="0" fontId="20" fillId="0" borderId="10" xfId="0" applyFont="1" applyFill="1" applyBorder="1" applyAlignment="1">
      <alignment horizontal="center" vertical="top" wrapText="1"/>
    </xf>
    <xf numFmtId="0" fontId="32" fillId="40" borderId="10" xfId="0" applyFont="1" applyFill="1" applyBorder="1" applyAlignment="1">
      <alignment vertical="top"/>
    </xf>
    <xf numFmtId="0" fontId="44" fillId="40" borderId="10" xfId="0" applyFont="1" applyFill="1" applyBorder="1" applyAlignment="1">
      <alignment vertical="top"/>
    </xf>
    <xf numFmtId="0" fontId="45" fillId="40" borderId="10" xfId="0" applyFont="1" applyFill="1" applyBorder="1" applyAlignment="1">
      <alignment horizontal="center" vertical="top"/>
    </xf>
    <xf numFmtId="0" fontId="46" fillId="0" borderId="0" xfId="0" applyFont="1" applyFill="1" applyAlignment="1">
      <alignment/>
    </xf>
    <xf numFmtId="0" fontId="47" fillId="0" borderId="0" xfId="0" applyFont="1" applyFill="1" applyAlignment="1">
      <alignment vertical="top"/>
    </xf>
    <xf numFmtId="0" fontId="19" fillId="0" borderId="0" xfId="0" applyFont="1" applyFill="1" applyBorder="1" applyAlignment="1">
      <alignment horizontal="center" vertical="top"/>
    </xf>
    <xf numFmtId="0" fontId="0" fillId="0" borderId="12" xfId="0" applyBorder="1" applyAlignment="1">
      <alignment/>
    </xf>
    <xf numFmtId="0" fontId="0" fillId="0" borderId="12" xfId="0" applyBorder="1" applyAlignment="1" applyProtection="1">
      <alignment/>
      <protection locked="0"/>
    </xf>
    <xf numFmtId="0" fontId="19" fillId="0" borderId="13" xfId="0" applyFont="1" applyFill="1" applyBorder="1" applyAlignment="1">
      <alignment horizontal="center" vertical="top"/>
    </xf>
    <xf numFmtId="0" fontId="20" fillId="0" borderId="13" xfId="0" applyFont="1" applyFill="1" applyBorder="1" applyAlignment="1">
      <alignment vertical="top" wrapText="1"/>
    </xf>
    <xf numFmtId="0" fontId="27" fillId="0" borderId="13" xfId="0" applyFont="1" applyFill="1" applyBorder="1" applyAlignment="1">
      <alignment horizontal="center" vertical="top" wrapText="1"/>
    </xf>
    <xf numFmtId="0" fontId="48" fillId="0" borderId="12" xfId="0" applyFont="1" applyBorder="1" applyAlignment="1">
      <alignment horizontal="center" vertical="center" wrapText="1"/>
    </xf>
    <xf numFmtId="0" fontId="48" fillId="0" borderId="12" xfId="0" applyFont="1" applyBorder="1" applyAlignment="1">
      <alignment vertical="center" wrapText="1"/>
    </xf>
    <xf numFmtId="0" fontId="48" fillId="0" borderId="12" xfId="0" applyFont="1" applyBorder="1" applyAlignment="1">
      <alignment horizontal="justify" vertical="center" wrapText="1"/>
    </xf>
    <xf numFmtId="0" fontId="48" fillId="0" borderId="12" xfId="0" applyFont="1" applyBorder="1" applyAlignment="1" applyProtection="1">
      <alignment horizontal="center" vertical="center" wrapText="1"/>
      <protection locked="0"/>
    </xf>
    <xf numFmtId="0" fontId="48" fillId="0" borderId="12" xfId="0" applyFont="1" applyBorder="1" applyAlignment="1" applyProtection="1">
      <alignment/>
      <protection locked="0"/>
    </xf>
    <xf numFmtId="0" fontId="48" fillId="0" borderId="12" xfId="0" applyFont="1" applyBorder="1" applyAlignment="1">
      <alignment horizontal="left" vertical="center" wrapText="1" indent="5"/>
    </xf>
    <xf numFmtId="0" fontId="20" fillId="0" borderId="0" xfId="0" applyFont="1" applyFill="1" applyBorder="1" applyAlignment="1">
      <alignment wrapText="1"/>
    </xf>
    <xf numFmtId="0" fontId="27" fillId="0" borderId="0" xfId="0" applyFont="1" applyFill="1" applyBorder="1" applyAlignment="1">
      <alignment horizontal="center" wrapText="1"/>
    </xf>
    <xf numFmtId="0" fontId="0" fillId="0" borderId="0" xfId="0" applyFill="1" applyBorder="1" applyAlignment="1">
      <alignment/>
    </xf>
    <xf numFmtId="0" fontId="28" fillId="0" borderId="0" xfId="0" applyFont="1" applyFill="1" applyBorder="1" applyAlignment="1">
      <alignment/>
    </xf>
    <xf numFmtId="0" fontId="30" fillId="0" borderId="0" xfId="0" applyFont="1" applyFill="1" applyBorder="1" applyAlignment="1">
      <alignment vertical="top"/>
    </xf>
    <xf numFmtId="0" fontId="22" fillId="0" borderId="11"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164" fontId="19" fillId="0" borderId="13" xfId="0" applyNumberFormat="1" applyFont="1" applyFill="1" applyBorder="1" applyAlignment="1" applyProtection="1">
      <alignment vertical="top" wrapText="1"/>
      <protection locked="0"/>
    </xf>
    <xf numFmtId="164" fontId="20" fillId="0" borderId="13" xfId="0" applyNumberFormat="1" applyFont="1" applyFill="1" applyBorder="1" applyAlignment="1" applyProtection="1">
      <alignment vertical="top" wrapText="1"/>
      <protection locked="0"/>
    </xf>
    <xf numFmtId="0" fontId="19" fillId="0" borderId="18" xfId="0" applyFont="1" applyFill="1" applyBorder="1" applyAlignment="1">
      <alignment horizontal="center" vertical="top"/>
    </xf>
    <xf numFmtId="0" fontId="20" fillId="0" borderId="19" xfId="0" applyFont="1" applyFill="1" applyBorder="1" applyAlignment="1">
      <alignment vertical="top" wrapText="1"/>
    </xf>
    <xf numFmtId="0" fontId="27" fillId="0" borderId="19" xfId="0" applyFont="1" applyFill="1" applyBorder="1" applyAlignment="1">
      <alignment horizontal="center" vertical="top" wrapText="1"/>
    </xf>
    <xf numFmtId="0" fontId="0" fillId="0" borderId="19" xfId="0" applyFill="1" applyBorder="1" applyAlignment="1" applyProtection="1">
      <alignment vertical="top"/>
      <protection locked="0"/>
    </xf>
    <xf numFmtId="0" fontId="28" fillId="0" borderId="19" xfId="0" applyFont="1" applyFill="1" applyBorder="1" applyAlignment="1" applyProtection="1">
      <alignment vertical="top"/>
      <protection locked="0"/>
    </xf>
    <xf numFmtId="0" fontId="19" fillId="0" borderId="20" xfId="0" applyFont="1" applyFill="1" applyBorder="1" applyAlignment="1">
      <alignment horizontal="center" vertical="top"/>
    </xf>
    <xf numFmtId="0" fontId="19" fillId="0" borderId="21" xfId="0" applyFont="1" applyFill="1" applyBorder="1" applyAlignment="1">
      <alignment horizontal="center" vertical="top"/>
    </xf>
    <xf numFmtId="0" fontId="20" fillId="0" borderId="16" xfId="0" applyFont="1" applyFill="1" applyBorder="1" applyAlignment="1">
      <alignment vertical="top" wrapText="1"/>
    </xf>
    <xf numFmtId="0" fontId="27" fillId="0" borderId="16" xfId="0" applyFont="1" applyFill="1" applyBorder="1" applyAlignment="1">
      <alignment horizontal="center" vertical="top" wrapText="1"/>
    </xf>
    <xf numFmtId="166" fontId="19" fillId="0" borderId="16" xfId="0" applyNumberFormat="1" applyFont="1" applyFill="1" applyBorder="1" applyAlignment="1" applyProtection="1">
      <alignment vertical="top" wrapText="1"/>
      <protection locked="0"/>
    </xf>
    <xf numFmtId="166" fontId="20" fillId="0" borderId="16" xfId="0" applyNumberFormat="1" applyFont="1" applyFill="1" applyBorder="1" applyAlignment="1" applyProtection="1">
      <alignment vertical="top" wrapText="1"/>
      <protection locked="0"/>
    </xf>
    <xf numFmtId="0" fontId="49" fillId="0" borderId="10" xfId="0" applyNumberFormat="1" applyFont="1" applyFill="1" applyBorder="1" applyAlignment="1" applyProtection="1">
      <alignment vertical="top" wrapText="1"/>
      <protection locked="0"/>
    </xf>
    <xf numFmtId="0" fontId="49" fillId="0" borderId="10" xfId="0" applyFont="1" applyFill="1" applyBorder="1" applyAlignment="1" applyProtection="1">
      <alignment vertical="top" wrapText="1"/>
      <protection locked="0"/>
    </xf>
    <xf numFmtId="0" fontId="50" fillId="0" borderId="10" xfId="0" applyFont="1" applyFill="1" applyBorder="1" applyAlignment="1" applyProtection="1">
      <alignment vertical="top"/>
      <protection locked="0"/>
    </xf>
    <xf numFmtId="0" fontId="50" fillId="0" borderId="10" xfId="0" applyFont="1" applyFill="1" applyBorder="1" applyAlignment="1">
      <alignment/>
    </xf>
    <xf numFmtId="164" fontId="49" fillId="0" borderId="10" xfId="0" applyNumberFormat="1" applyFont="1" applyFill="1" applyBorder="1" applyAlignment="1" applyProtection="1">
      <alignment vertical="top" wrapText="1"/>
      <protection locked="0"/>
    </xf>
    <xf numFmtId="0" fontId="52" fillId="0" borderId="10" xfId="0" applyFont="1" applyFill="1" applyBorder="1" applyAlignment="1" applyProtection="1">
      <alignment vertical="top" wrapText="1"/>
      <protection locked="0"/>
    </xf>
    <xf numFmtId="0" fontId="53" fillId="0" borderId="10" xfId="0" applyFont="1" applyFill="1" applyBorder="1" applyAlignment="1" applyProtection="1">
      <alignment vertical="top" wrapText="1"/>
      <protection locked="0"/>
    </xf>
    <xf numFmtId="0" fontId="49" fillId="0" borderId="13" xfId="0" applyFont="1" applyFill="1" applyBorder="1" applyAlignment="1" applyProtection="1">
      <alignment vertical="top" wrapText="1"/>
      <protection locked="0"/>
    </xf>
    <xf numFmtId="0" fontId="49" fillId="0" borderId="22" xfId="0" applyFont="1" applyFill="1" applyBorder="1" applyAlignment="1" applyProtection="1">
      <alignment vertical="top" wrapText="1"/>
      <protection locked="0"/>
    </xf>
    <xf numFmtId="0" fontId="54" fillId="0" borderId="10" xfId="0" applyFont="1" applyFill="1" applyBorder="1" applyAlignment="1">
      <alignment vertical="top"/>
    </xf>
    <xf numFmtId="0" fontId="55" fillId="0" borderId="10" xfId="0" applyFont="1" applyFill="1" applyBorder="1" applyAlignment="1">
      <alignment vertical="top"/>
    </xf>
    <xf numFmtId="0" fontId="49" fillId="0" borderId="22" xfId="0" applyNumberFormat="1" applyFont="1" applyFill="1" applyBorder="1" applyAlignment="1" applyProtection="1">
      <alignment vertical="top" wrapText="1"/>
      <protection locked="0"/>
    </xf>
    <xf numFmtId="0" fontId="49" fillId="0" borderId="0" xfId="0" applyNumberFormat="1" applyFont="1" applyFill="1" applyBorder="1" applyAlignment="1" applyProtection="1">
      <alignment vertical="top" wrapText="1"/>
      <protection locked="0"/>
    </xf>
    <xf numFmtId="0" fontId="50" fillId="0" borderId="0" xfId="0" applyFont="1" applyFill="1" applyAlignment="1">
      <alignment/>
    </xf>
    <xf numFmtId="49" fontId="48" fillId="0" borderId="10" xfId="0" applyNumberFormat="1" applyFont="1" applyBorder="1" applyAlignment="1">
      <alignment horizontal="center" vertical="center" wrapText="1"/>
    </xf>
    <xf numFmtId="0" fontId="21" fillId="0" borderId="0" xfId="0" applyFont="1" applyFill="1" applyBorder="1" applyAlignment="1">
      <alignment horizontal="center" wrapText="1"/>
    </xf>
    <xf numFmtId="0" fontId="24" fillId="0" borderId="0" xfId="0" applyFont="1" applyFill="1" applyBorder="1" applyAlignment="1">
      <alignment horizontal="center" wrapText="1"/>
    </xf>
    <xf numFmtId="0" fontId="25" fillId="0" borderId="0" xfId="0" applyFont="1" applyFill="1" applyBorder="1" applyAlignment="1">
      <alignment horizontal="center" wrapText="1"/>
    </xf>
    <xf numFmtId="0" fontId="26" fillId="0" borderId="0" xfId="0" applyFont="1" applyFill="1" applyBorder="1" applyAlignment="1">
      <alignment horizontal="left" wrapText="1"/>
    </xf>
    <xf numFmtId="0" fontId="25" fillId="0" borderId="0" xfId="0" applyFont="1" applyFill="1" applyBorder="1" applyAlignment="1">
      <alignment horizontal="center"/>
    </xf>
    <xf numFmtId="0" fontId="25" fillId="0" borderId="0" xfId="0" applyFont="1" applyFill="1" applyBorder="1" applyAlignment="1" applyProtection="1">
      <alignment horizontal="center"/>
      <protection locked="0"/>
    </xf>
    <xf numFmtId="0" fontId="32" fillId="0" borderId="0" xfId="0" applyFont="1" applyFill="1" applyBorder="1" applyAlignment="1">
      <alignment horizontal="center" wrapText="1"/>
    </xf>
    <xf numFmtId="0" fontId="33" fillId="0" borderId="0" xfId="0" applyFont="1" applyFill="1" applyBorder="1" applyAlignment="1">
      <alignment horizontal="center"/>
    </xf>
    <xf numFmtId="0" fontId="34" fillId="0" borderId="10" xfId="0" applyFont="1" applyFill="1" applyBorder="1" applyAlignment="1">
      <alignment horizontal="center" vertical="center"/>
    </xf>
    <xf numFmtId="0" fontId="20" fillId="0" borderId="10" xfId="0" applyFont="1" applyFill="1" applyBorder="1" applyAlignment="1">
      <alignment horizontal="center" vertical="center"/>
    </xf>
    <xf numFmtId="0" fontId="22" fillId="0" borderId="10" xfId="0" applyFont="1" applyFill="1" applyBorder="1" applyAlignment="1">
      <alignment horizontal="center" vertical="center"/>
    </xf>
    <xf numFmtId="0" fontId="49"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49" fillId="0" borderId="10" xfId="0" applyFont="1" applyFill="1" applyBorder="1" applyAlignment="1" applyProtection="1">
      <alignment horizontal="left" vertical="top" wrapText="1"/>
      <protection locked="0"/>
    </xf>
    <xf numFmtId="0" fontId="22" fillId="0" borderId="10" xfId="0" applyFont="1" applyFill="1" applyBorder="1" applyAlignment="1">
      <alignment horizontal="center" vertical="top" wrapText="1"/>
    </xf>
    <xf numFmtId="0" fontId="22" fillId="42" borderId="10" xfId="0" applyFont="1" applyFill="1" applyBorder="1" applyAlignment="1">
      <alignment horizontal="center" vertical="top" wrapText="1"/>
    </xf>
    <xf numFmtId="0" fontId="49" fillId="0" borderId="10" xfId="0" applyNumberFormat="1" applyFont="1" applyFill="1" applyBorder="1" applyAlignment="1" applyProtection="1">
      <alignment horizontal="left" vertical="top" wrapText="1"/>
      <protection locked="0"/>
    </xf>
    <xf numFmtId="0" fontId="49" fillId="0" borderId="29" xfId="0" applyFont="1" applyFill="1" applyBorder="1" applyAlignment="1" applyProtection="1">
      <alignment horizontal="left" vertical="top" wrapText="1"/>
      <protection locked="0"/>
    </xf>
    <xf numFmtId="0" fontId="49" fillId="0" borderId="13" xfId="0" applyNumberFormat="1" applyFont="1" applyFill="1" applyBorder="1" applyAlignment="1" applyProtection="1">
      <alignment vertical="top" wrapText="1"/>
      <protection locked="0"/>
    </xf>
    <xf numFmtId="0" fontId="49" fillId="0" borderId="30" xfId="0" applyNumberFormat="1" applyFont="1" applyFill="1" applyBorder="1" applyAlignment="1" applyProtection="1">
      <alignment horizontal="left" vertical="top" wrapText="1"/>
      <protection locked="0"/>
    </xf>
    <xf numFmtId="0" fontId="49" fillId="0" borderId="31" xfId="0" applyNumberFormat="1" applyFont="1" applyFill="1" applyBorder="1" applyAlignment="1" applyProtection="1">
      <alignment horizontal="left" vertical="top" wrapText="1"/>
      <protection locked="0"/>
    </xf>
    <xf numFmtId="0" fontId="49" fillId="0" borderId="17" xfId="0" applyNumberFormat="1" applyFont="1" applyFill="1" applyBorder="1" applyAlignment="1" applyProtection="1">
      <alignment horizontal="left" vertical="top" wrapText="1"/>
      <protection locked="0"/>
    </xf>
    <xf numFmtId="0" fontId="0" fillId="0" borderId="0" xfId="0" applyFont="1" applyFill="1" applyBorder="1" applyAlignment="1">
      <alignment horizontal="left" vertical="top"/>
    </xf>
    <xf numFmtId="0" fontId="49" fillId="0" borderId="12" xfId="0" applyNumberFormat="1" applyFont="1" applyFill="1" applyBorder="1" applyAlignment="1" applyProtection="1">
      <alignment horizontal="left" vertical="top" wrapText="1"/>
      <protection locked="0"/>
    </xf>
  </cellXfs>
  <cellStyles count="65">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Currency" xfId="60"/>
    <cellStyle name="Currency [0]" xfId="61"/>
    <cellStyle name="Заголовок 1" xfId="62"/>
    <cellStyle name="Заголовок 2" xfId="63"/>
    <cellStyle name="Заголовок 3" xfId="64"/>
    <cellStyle name="Заголовок 4" xfId="65"/>
    <cellStyle name="Итог" xfId="66"/>
    <cellStyle name="Контрольная ячейка" xfId="67"/>
    <cellStyle name="Название" xfId="68"/>
    <cellStyle name="Нейтральный"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8"/>
  <sheetViews>
    <sheetView zoomScaleSheetLayoutView="90" zoomScalePageLayoutView="0" workbookViewId="0" topLeftCell="A8">
      <selection activeCell="I25" sqref="I25"/>
    </sheetView>
  </sheetViews>
  <sheetFormatPr defaultColWidth="9.00390625" defaultRowHeight="12.75"/>
  <sheetData>
    <row r="1" spans="1:3" s="4" customFormat="1" ht="15.75">
      <c r="A1" s="1"/>
      <c r="B1" s="2"/>
      <c r="C1" s="3"/>
    </row>
    <row r="2" spans="1:3" s="4" customFormat="1" ht="15.75">
      <c r="A2" s="1"/>
      <c r="B2" s="2"/>
      <c r="C2" s="3"/>
    </row>
    <row r="3" spans="1:3" s="4" customFormat="1" ht="15.75">
      <c r="A3" s="1"/>
      <c r="B3" s="2"/>
      <c r="C3" s="3"/>
    </row>
    <row r="4" spans="1:3" s="4" customFormat="1" ht="15.75">
      <c r="A4" s="1"/>
      <c r="B4" s="2"/>
      <c r="C4" s="3"/>
    </row>
    <row r="5" spans="1:14" s="4" customFormat="1" ht="33" customHeight="1">
      <c r="A5" s="157" t="s">
        <v>0</v>
      </c>
      <c r="B5" s="157"/>
      <c r="C5" s="157"/>
      <c r="D5" s="157"/>
      <c r="E5" s="157"/>
      <c r="F5" s="157"/>
      <c r="G5" s="157"/>
      <c r="H5" s="157"/>
      <c r="I5" s="157"/>
      <c r="J5" s="157"/>
      <c r="K5" s="157"/>
      <c r="L5" s="157"/>
      <c r="M5" s="157"/>
      <c r="N5" s="157"/>
    </row>
    <row r="6" spans="1:9" s="4" customFormat="1" ht="17.25" customHeight="1">
      <c r="A6" s="1"/>
      <c r="B6" s="5"/>
      <c r="C6" s="6"/>
      <c r="D6" s="7"/>
      <c r="E6" s="7"/>
      <c r="F6" s="7"/>
      <c r="G6" s="7"/>
      <c r="H6" s="7"/>
      <c r="I6" s="7"/>
    </row>
    <row r="7" spans="1:9" s="4" customFormat="1" ht="17.25" customHeight="1">
      <c r="A7" s="1"/>
      <c r="B7" s="5"/>
      <c r="C7" s="6"/>
      <c r="D7" s="7"/>
      <c r="E7" s="7"/>
      <c r="F7" s="7"/>
      <c r="G7" s="7"/>
      <c r="H7" s="7"/>
      <c r="I7" s="7"/>
    </row>
    <row r="8" spans="1:9" s="4" customFormat="1" ht="17.25" customHeight="1">
      <c r="A8" s="1"/>
      <c r="B8" s="5"/>
      <c r="C8" s="6"/>
      <c r="D8" s="7"/>
      <c r="E8" s="7"/>
      <c r="F8" s="7"/>
      <c r="G8" s="7"/>
      <c r="H8" s="7"/>
      <c r="I8" s="7"/>
    </row>
    <row r="9" spans="1:14" s="4" customFormat="1" ht="17.25" customHeight="1">
      <c r="A9" s="157" t="s">
        <v>1</v>
      </c>
      <c r="B9" s="157"/>
      <c r="C9" s="157"/>
      <c r="D9" s="157"/>
      <c r="E9" s="157"/>
      <c r="F9" s="157"/>
      <c r="G9" s="157"/>
      <c r="H9" s="157"/>
      <c r="I9" s="157"/>
      <c r="J9" s="157"/>
      <c r="K9" s="157"/>
      <c r="L9" s="157"/>
      <c r="M9" s="157"/>
      <c r="N9" s="157"/>
    </row>
    <row r="10" spans="1:9" s="4" customFormat="1" ht="17.25" customHeight="1">
      <c r="A10" s="1"/>
      <c r="B10" s="158"/>
      <c r="C10" s="158"/>
      <c r="D10" s="158"/>
      <c r="E10" s="158"/>
      <c r="F10" s="158"/>
      <c r="G10" s="158"/>
      <c r="H10" s="158"/>
      <c r="I10" s="158"/>
    </row>
    <row r="11" spans="1:9" s="4" customFormat="1" ht="17.25" customHeight="1">
      <c r="A11" s="1"/>
      <c r="B11" s="159"/>
      <c r="C11" s="159"/>
      <c r="D11" s="159"/>
      <c r="E11" s="159"/>
      <c r="F11" s="159"/>
      <c r="G11" s="159"/>
      <c r="H11" s="159"/>
      <c r="I11" s="159"/>
    </row>
    <row r="12" spans="1:14" s="4" customFormat="1" ht="17.25" customHeight="1">
      <c r="A12" s="157" t="s">
        <v>2</v>
      </c>
      <c r="B12" s="157"/>
      <c r="C12" s="157"/>
      <c r="D12" s="157"/>
      <c r="E12" s="157"/>
      <c r="F12" s="157"/>
      <c r="G12" s="157"/>
      <c r="H12" s="157"/>
      <c r="I12" s="157"/>
      <c r="J12" s="157"/>
      <c r="K12" s="157"/>
      <c r="L12" s="157"/>
      <c r="M12" s="157"/>
      <c r="N12" s="157"/>
    </row>
    <row r="13" spans="1:9" s="4" customFormat="1" ht="17.25" customHeight="1">
      <c r="A13" s="1"/>
      <c r="B13" s="158"/>
      <c r="C13" s="158"/>
      <c r="D13" s="158"/>
      <c r="E13" s="158"/>
      <c r="F13" s="158"/>
      <c r="G13" s="158"/>
      <c r="H13" s="158"/>
      <c r="I13" s="158"/>
    </row>
    <row r="14" spans="1:9" s="4" customFormat="1" ht="17.25" customHeight="1">
      <c r="A14" s="1"/>
      <c r="B14" s="5"/>
      <c r="C14" s="8"/>
      <c r="D14" s="9"/>
      <c r="E14" s="9"/>
      <c r="F14" s="7"/>
      <c r="G14" s="7"/>
      <c r="H14" s="7"/>
      <c r="I14" s="7"/>
    </row>
    <row r="15" spans="1:14" s="4" customFormat="1" ht="17.25" customHeight="1">
      <c r="A15" s="159" t="s">
        <v>3</v>
      </c>
      <c r="B15" s="159"/>
      <c r="C15" s="159"/>
      <c r="D15" s="159"/>
      <c r="E15" s="159"/>
      <c r="F15" s="159"/>
      <c r="G15" s="159"/>
      <c r="H15" s="159"/>
      <c r="I15" s="159"/>
      <c r="J15" s="159"/>
      <c r="K15" s="159"/>
      <c r="L15" s="159"/>
      <c r="M15" s="159"/>
      <c r="N15" s="159"/>
    </row>
    <row r="16" spans="1:14" s="4" customFormat="1" ht="17.25" customHeight="1">
      <c r="A16" s="159" t="s">
        <v>4</v>
      </c>
      <c r="B16" s="159"/>
      <c r="C16" s="159"/>
      <c r="D16" s="159"/>
      <c r="E16" s="159"/>
      <c r="F16" s="159"/>
      <c r="G16" s="159"/>
      <c r="H16" s="159"/>
      <c r="I16" s="159"/>
      <c r="J16" s="159"/>
      <c r="K16" s="159"/>
      <c r="L16" s="159"/>
      <c r="M16" s="159"/>
      <c r="N16" s="159"/>
    </row>
    <row r="17" spans="1:14" s="4" customFormat="1" ht="17.25" customHeight="1">
      <c r="A17" s="159" t="s">
        <v>5</v>
      </c>
      <c r="B17" s="159"/>
      <c r="C17" s="159"/>
      <c r="D17" s="159"/>
      <c r="E17" s="159"/>
      <c r="F17" s="159"/>
      <c r="G17" s="159"/>
      <c r="H17" s="159"/>
      <c r="I17" s="159"/>
      <c r="J17" s="159"/>
      <c r="K17" s="159"/>
      <c r="L17" s="159"/>
      <c r="M17" s="159"/>
      <c r="N17" s="159"/>
    </row>
    <row r="18" spans="1:14" s="4" customFormat="1" ht="17.25" customHeight="1">
      <c r="A18" s="159" t="s">
        <v>6</v>
      </c>
      <c r="B18" s="159"/>
      <c r="C18" s="159"/>
      <c r="D18" s="159"/>
      <c r="E18" s="159"/>
      <c r="F18" s="159"/>
      <c r="G18" s="159"/>
      <c r="H18" s="159"/>
      <c r="I18" s="159"/>
      <c r="J18" s="159"/>
      <c r="K18" s="159"/>
      <c r="L18" s="159"/>
      <c r="M18" s="159"/>
      <c r="N18" s="159"/>
    </row>
    <row r="19" spans="1:9" s="4" customFormat="1" ht="17.25" customHeight="1">
      <c r="A19" s="1"/>
      <c r="B19" s="6"/>
      <c r="C19" s="8"/>
      <c r="D19" s="8"/>
      <c r="E19" s="8"/>
      <c r="F19" s="8"/>
      <c r="G19" s="8"/>
      <c r="H19" s="8"/>
      <c r="I19" s="10"/>
    </row>
    <row r="20" spans="1:9" s="4" customFormat="1" ht="17.25" customHeight="1">
      <c r="A20" s="1"/>
      <c r="B20" s="6"/>
      <c r="C20" s="8"/>
      <c r="D20" s="8"/>
      <c r="E20" s="8"/>
      <c r="F20" s="8"/>
      <c r="G20" s="8"/>
      <c r="H20" s="8"/>
      <c r="I20" s="10"/>
    </row>
    <row r="21" spans="1:9" s="4" customFormat="1" ht="17.25" customHeight="1">
      <c r="A21" s="1"/>
      <c r="B21" s="3"/>
      <c r="C21" s="11"/>
      <c r="D21" s="11"/>
      <c r="E21" s="11"/>
      <c r="F21" s="11"/>
      <c r="G21" s="11"/>
      <c r="H21" s="11"/>
      <c r="I21" s="12"/>
    </row>
    <row r="22" spans="1:9" s="4" customFormat="1" ht="17.25" customHeight="1">
      <c r="A22" s="1"/>
      <c r="B22" s="3"/>
      <c r="C22" s="11"/>
      <c r="D22" s="11"/>
      <c r="E22" s="11"/>
      <c r="F22" s="11"/>
      <c r="G22" s="11"/>
      <c r="H22" s="11"/>
      <c r="I22" s="12"/>
    </row>
    <row r="23" spans="1:12" s="4" customFormat="1" ht="17.25" customHeight="1">
      <c r="A23" s="1"/>
      <c r="B23" s="3"/>
      <c r="C23" s="11"/>
      <c r="D23" s="11"/>
      <c r="E23" s="11"/>
      <c r="F23" s="11"/>
      <c r="G23" s="11"/>
      <c r="H23" s="11"/>
      <c r="I23" s="160" t="s">
        <v>7</v>
      </c>
      <c r="J23" s="160"/>
      <c r="K23" s="160"/>
      <c r="L23" s="160"/>
    </row>
    <row r="24" spans="1:12" s="4" customFormat="1" ht="26.25" customHeight="1">
      <c r="A24" s="1"/>
      <c r="B24" s="2"/>
      <c r="C24" s="11"/>
      <c r="D24" s="13"/>
      <c r="E24" s="13"/>
      <c r="I24" s="160" t="s">
        <v>8</v>
      </c>
      <c r="J24" s="160"/>
      <c r="K24" s="160"/>
      <c r="L24" s="160"/>
    </row>
    <row r="25" spans="1:14" s="4" customFormat="1" ht="27" customHeight="1">
      <c r="A25" s="1"/>
      <c r="C25" s="14"/>
      <c r="D25" s="14"/>
      <c r="E25" s="14"/>
      <c r="F25" s="14"/>
      <c r="G25" s="14"/>
      <c r="H25" s="14"/>
      <c r="M25" s="14"/>
      <c r="N25" s="14"/>
    </row>
    <row r="26" spans="1:8" s="4" customFormat="1" ht="17.25" customHeight="1">
      <c r="A26" s="1"/>
      <c r="C26" s="14"/>
      <c r="D26" s="14"/>
      <c r="E26" s="14"/>
      <c r="F26" s="14"/>
      <c r="G26" s="14"/>
      <c r="H26" s="14"/>
    </row>
    <row r="27" spans="1:5" s="4" customFormat="1" ht="17.25" customHeight="1">
      <c r="A27" s="1"/>
      <c r="B27" s="2"/>
      <c r="C27" s="11"/>
      <c r="D27" s="13"/>
      <c r="E27" s="13"/>
    </row>
    <row r="28" spans="1:5" s="4" customFormat="1" ht="17.25" customHeight="1">
      <c r="A28" s="1"/>
      <c r="B28" s="2"/>
      <c r="C28" s="11"/>
      <c r="D28" s="13"/>
      <c r="E28" s="13"/>
    </row>
  </sheetData>
  <sheetProtection selectLockedCells="1" selectUnlockedCells="1"/>
  <mergeCells count="12">
    <mergeCell ref="A15:N15"/>
    <mergeCell ref="A16:N16"/>
    <mergeCell ref="A17:N17"/>
    <mergeCell ref="A18:N18"/>
    <mergeCell ref="I23:L23"/>
    <mergeCell ref="I24:L24"/>
    <mergeCell ref="A5:N5"/>
    <mergeCell ref="A9:N9"/>
    <mergeCell ref="B10:I10"/>
    <mergeCell ref="B11:I11"/>
    <mergeCell ref="A12:N12"/>
    <mergeCell ref="B13:I13"/>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indexed="10"/>
  </sheetPr>
  <dimension ref="A1:S107"/>
  <sheetViews>
    <sheetView tabSelected="1" view="pageBreakPreview" zoomScale="70" zoomScaleNormal="70" zoomScaleSheetLayoutView="70" zoomScalePageLayoutView="0" workbookViewId="0" topLeftCell="A1">
      <pane ySplit="5" topLeftCell="A36" activePane="bottomLeft" state="frozen"/>
      <selection pane="topLeft" activeCell="A1" sqref="A1"/>
      <selection pane="bottomLeft" activeCell="T39" sqref="T39"/>
    </sheetView>
  </sheetViews>
  <sheetFormatPr defaultColWidth="9.00390625" defaultRowHeight="12.75"/>
  <cols>
    <col min="1" max="1" width="5.125" style="15" customWidth="1"/>
    <col min="2" max="2" width="37.25390625" style="2" customWidth="1"/>
    <col min="3" max="3" width="10.25390625" style="16" customWidth="1"/>
    <col min="4" max="5" width="0" style="17" hidden="1" customWidth="1"/>
    <col min="6" max="6" width="0" style="18" hidden="1" customWidth="1"/>
    <col min="7" max="7" width="8.625" style="18" hidden="1" customWidth="1"/>
    <col min="8" max="14" width="8.625" style="18" customWidth="1"/>
    <col min="15" max="15" width="41.625" style="155" customWidth="1"/>
    <col min="16" max="18" width="0" style="17" hidden="1" customWidth="1"/>
    <col min="19" max="19" width="12.75390625" style="19" customWidth="1"/>
    <col min="20" max="16384" width="9.125" style="17" customWidth="1"/>
  </cols>
  <sheetData>
    <row r="1" spans="1:19" s="20" customFormat="1" ht="17.25" customHeight="1">
      <c r="A1" s="161" t="s">
        <v>9</v>
      </c>
      <c r="B1" s="161"/>
      <c r="C1" s="161"/>
      <c r="D1" s="161"/>
      <c r="E1" s="161"/>
      <c r="F1" s="161"/>
      <c r="G1" s="161"/>
      <c r="H1" s="161"/>
      <c r="I1" s="161"/>
      <c r="J1" s="161"/>
      <c r="K1" s="161"/>
      <c r="L1" s="161"/>
      <c r="M1" s="161"/>
      <c r="N1" s="161"/>
      <c r="O1" s="161"/>
      <c r="S1" s="19"/>
    </row>
    <row r="2" spans="1:19" s="20" customFormat="1" ht="17.25" customHeight="1">
      <c r="A2" s="162" t="s">
        <v>2</v>
      </c>
      <c r="B2" s="162"/>
      <c r="C2" s="162"/>
      <c r="D2" s="162"/>
      <c r="E2" s="162"/>
      <c r="F2" s="162"/>
      <c r="G2" s="162"/>
      <c r="H2" s="162"/>
      <c r="I2" s="162"/>
      <c r="J2" s="162"/>
      <c r="K2" s="162"/>
      <c r="L2" s="162"/>
      <c r="M2" s="162"/>
      <c r="N2" s="162"/>
      <c r="O2" s="162"/>
      <c r="Q2" s="163" t="s">
        <v>10</v>
      </c>
      <c r="R2" s="163"/>
      <c r="S2" s="19"/>
    </row>
    <row r="3" spans="1:18" ht="18" customHeight="1">
      <c r="A3" s="164" t="s">
        <v>11</v>
      </c>
      <c r="B3" s="164"/>
      <c r="C3" s="164"/>
      <c r="D3" s="164"/>
      <c r="E3" s="164"/>
      <c r="F3" s="164"/>
      <c r="G3" s="164"/>
      <c r="H3" s="164"/>
      <c r="I3" s="164"/>
      <c r="J3" s="164"/>
      <c r="K3" s="164"/>
      <c r="L3" s="164"/>
      <c r="M3" s="164"/>
      <c r="N3" s="164"/>
      <c r="O3" s="164"/>
      <c r="Q3" s="163"/>
      <c r="R3" s="163"/>
    </row>
    <row r="4" spans="1:19" s="23" customFormat="1" ht="21" customHeight="1">
      <c r="A4" s="165" t="s">
        <v>12</v>
      </c>
      <c r="B4" s="166" t="s">
        <v>13</v>
      </c>
      <c r="C4" s="21" t="s">
        <v>14</v>
      </c>
      <c r="D4" s="167">
        <v>2011</v>
      </c>
      <c r="E4" s="22"/>
      <c r="F4" s="169" t="s">
        <v>15</v>
      </c>
      <c r="G4" s="170"/>
      <c r="H4" s="170"/>
      <c r="I4" s="170"/>
      <c r="J4" s="170"/>
      <c r="K4" s="171"/>
      <c r="L4" s="172" t="s">
        <v>16</v>
      </c>
      <c r="M4" s="170"/>
      <c r="N4" s="173"/>
      <c r="O4" s="168" t="s">
        <v>17</v>
      </c>
      <c r="Q4" s="163"/>
      <c r="R4" s="163"/>
      <c r="S4" s="19"/>
    </row>
    <row r="5" spans="1:19" s="23" customFormat="1" ht="21" customHeight="1">
      <c r="A5" s="165"/>
      <c r="B5" s="166"/>
      <c r="C5" s="21"/>
      <c r="D5" s="167"/>
      <c r="E5" s="124">
        <v>2012</v>
      </c>
      <c r="F5" s="125">
        <v>2013</v>
      </c>
      <c r="G5" s="126">
        <v>2014</v>
      </c>
      <c r="H5" s="126">
        <v>2015</v>
      </c>
      <c r="I5" s="126">
        <v>2016</v>
      </c>
      <c r="J5" s="126">
        <v>2017</v>
      </c>
      <c r="K5" s="127">
        <v>2018</v>
      </c>
      <c r="L5" s="127">
        <v>2019</v>
      </c>
      <c r="M5" s="127">
        <v>2020</v>
      </c>
      <c r="N5" s="128">
        <v>2021</v>
      </c>
      <c r="O5" s="168"/>
      <c r="Q5" s="163"/>
      <c r="R5" s="163"/>
      <c r="S5" s="19"/>
    </row>
    <row r="6" spans="1:18" ht="30" customHeight="1">
      <c r="A6" s="174" t="s">
        <v>18</v>
      </c>
      <c r="B6" s="174"/>
      <c r="C6" s="174"/>
      <c r="D6" s="174"/>
      <c r="E6" s="174"/>
      <c r="F6" s="175"/>
      <c r="G6" s="175"/>
      <c r="H6" s="175"/>
      <c r="I6" s="175"/>
      <c r="J6" s="175"/>
      <c r="K6" s="175"/>
      <c r="L6" s="175"/>
      <c r="M6" s="175"/>
      <c r="N6" s="175"/>
      <c r="O6" s="174"/>
      <c r="Q6" s="24"/>
      <c r="R6" s="24"/>
    </row>
    <row r="7" spans="1:18" ht="180.75" customHeight="1">
      <c r="A7" s="25">
        <v>1</v>
      </c>
      <c r="B7" s="26" t="s">
        <v>19</v>
      </c>
      <c r="C7" s="27" t="s">
        <v>20</v>
      </c>
      <c r="D7" s="28">
        <f>(57+797+5746+10069)/D87*10</f>
        <v>524.0176045268784</v>
      </c>
      <c r="E7" s="28">
        <f>(45+815+4296+10231)/E87*10</f>
        <v>482.90060476341415</v>
      </c>
      <c r="F7" s="29">
        <f>(14267)/F87*10</f>
        <v>449.20436011914137</v>
      </c>
      <c r="G7" s="29">
        <f>(50+743+4557+8824)/G87*10</f>
        <v>445.28498678973216</v>
      </c>
      <c r="H7" s="29">
        <f>(14800)/H87*10</f>
        <v>463.077399632667</v>
      </c>
      <c r="I7" s="29">
        <f>(14070)/I87*10</f>
        <v>440.86958156557273</v>
      </c>
      <c r="J7" s="29">
        <f>(14488)/J87*10</f>
        <v>457.07723589419203</v>
      </c>
      <c r="K7" s="29">
        <f>(14478)/K87*10</f>
        <v>461.86679937601093</v>
      </c>
      <c r="L7" s="29">
        <f>(14570)/L87*10</f>
        <v>468.39687392505016</v>
      </c>
      <c r="M7" s="29">
        <f>(14600)/M87*10</f>
        <v>471.27635193368553</v>
      </c>
      <c r="N7" s="29">
        <f>(14620)/N87*10</f>
        <v>474.0442916896339</v>
      </c>
      <c r="O7" s="142" t="s">
        <v>164</v>
      </c>
      <c r="Q7" s="24"/>
      <c r="R7" s="24"/>
    </row>
    <row r="8" spans="1:15" ht="132.75" customHeight="1">
      <c r="A8" s="25">
        <v>2</v>
      </c>
      <c r="B8" s="26" t="s">
        <v>21</v>
      </c>
      <c r="C8" s="27" t="s">
        <v>22</v>
      </c>
      <c r="D8" s="28">
        <f aca="true" t="shared" si="0" ref="D8:I8">(D11+D10)/D9*100</f>
        <v>27.818485874245642</v>
      </c>
      <c r="E8" s="28">
        <f t="shared" si="0"/>
        <v>27.790239808927474</v>
      </c>
      <c r="F8" s="29">
        <f t="shared" si="0"/>
        <v>27.67709781539387</v>
      </c>
      <c r="G8" s="29">
        <f t="shared" si="0"/>
        <v>26.324970790601064</v>
      </c>
      <c r="H8" s="29">
        <f t="shared" si="0"/>
        <v>25.66775406117008</v>
      </c>
      <c r="I8" s="29">
        <f t="shared" si="0"/>
        <v>26.767335350087034</v>
      </c>
      <c r="J8" s="29">
        <v>27.5</v>
      </c>
      <c r="K8" s="29">
        <v>27.5</v>
      </c>
      <c r="L8" s="29">
        <v>27.7</v>
      </c>
      <c r="M8" s="29">
        <v>27.9</v>
      </c>
      <c r="N8" s="29">
        <v>28</v>
      </c>
      <c r="O8" s="143" t="s">
        <v>23</v>
      </c>
    </row>
    <row r="9" spans="1:15" ht="15.75" customHeight="1" hidden="1">
      <c r="A9" s="30"/>
      <c r="B9" s="31" t="s">
        <v>24</v>
      </c>
      <c r="C9" s="32"/>
      <c r="D9" s="33">
        <v>123781</v>
      </c>
      <c r="E9" s="34">
        <v>123932</v>
      </c>
      <c r="F9" s="34">
        <v>122997</v>
      </c>
      <c r="G9" s="34">
        <v>123248</v>
      </c>
      <c r="H9" s="34">
        <v>120778</v>
      </c>
      <c r="I9" s="34">
        <v>118342</v>
      </c>
      <c r="J9" s="35">
        <v>117823</v>
      </c>
      <c r="K9" s="35">
        <v>117680</v>
      </c>
      <c r="L9" s="35">
        <v>117612</v>
      </c>
      <c r="M9" s="35">
        <v>117578</v>
      </c>
      <c r="N9" s="35">
        <v>117582</v>
      </c>
      <c r="O9" s="143"/>
    </row>
    <row r="10" spans="1:15" ht="15.75" customHeight="1" hidden="1">
      <c r="A10" s="30"/>
      <c r="B10" s="31" t="s">
        <v>25</v>
      </c>
      <c r="C10" s="32"/>
      <c r="D10" s="33">
        <v>27858</v>
      </c>
      <c r="E10" s="33">
        <v>30045</v>
      </c>
      <c r="F10" s="33">
        <v>29910</v>
      </c>
      <c r="G10" s="34">
        <f>G9-94650</f>
        <v>28598</v>
      </c>
      <c r="H10" s="34">
        <v>27097</v>
      </c>
      <c r="I10" s="34">
        <v>27179</v>
      </c>
      <c r="J10" s="35">
        <v>30111</v>
      </c>
      <c r="K10" s="35">
        <v>30100</v>
      </c>
      <c r="L10" s="35">
        <v>30100</v>
      </c>
      <c r="M10" s="35">
        <v>30110</v>
      </c>
      <c r="N10" s="35">
        <v>30120</v>
      </c>
      <c r="O10" s="143"/>
    </row>
    <row r="11" spans="1:15" ht="15.75" customHeight="1" hidden="1">
      <c r="A11" s="30"/>
      <c r="B11" s="31" t="s">
        <v>26</v>
      </c>
      <c r="C11" s="32"/>
      <c r="D11" s="33">
        <v>6576</v>
      </c>
      <c r="E11" s="33">
        <v>4396</v>
      </c>
      <c r="F11" s="33">
        <v>4132</v>
      </c>
      <c r="G11" s="33">
        <v>3847</v>
      </c>
      <c r="H11" s="33">
        <v>3904</v>
      </c>
      <c r="I11" s="33">
        <v>4498</v>
      </c>
      <c r="J11" s="36">
        <v>4197</v>
      </c>
      <c r="K11" s="36">
        <v>4347</v>
      </c>
      <c r="L11" s="36">
        <v>4400</v>
      </c>
      <c r="M11" s="36">
        <v>4400</v>
      </c>
      <c r="N11" s="36">
        <v>4400</v>
      </c>
      <c r="O11" s="143"/>
    </row>
    <row r="12" spans="1:19" ht="66.75" customHeight="1">
      <c r="A12" s="25">
        <v>3</v>
      </c>
      <c r="B12" s="26" t="s">
        <v>27</v>
      </c>
      <c r="C12" s="27" t="s">
        <v>28</v>
      </c>
      <c r="D12" s="28">
        <v>28143.3</v>
      </c>
      <c r="E12" s="28">
        <v>31398.6</v>
      </c>
      <c r="F12" s="29">
        <v>29628.3</v>
      </c>
      <c r="G12" s="29">
        <v>29612.1</v>
      </c>
      <c r="H12" s="29">
        <f>(16019501-2926013)/H87</f>
        <v>40968.23226460493</v>
      </c>
      <c r="I12" s="29">
        <v>23670</v>
      </c>
      <c r="J12" s="29">
        <v>26648.3</v>
      </c>
      <c r="K12" s="29">
        <v>33136.5</v>
      </c>
      <c r="L12" s="37">
        <f>(7353567-713143)/L87</f>
        <v>21347.658497850905</v>
      </c>
      <c r="M12" s="37">
        <f>(8448480-1282591)/M87</f>
        <v>23130.917988231</v>
      </c>
      <c r="N12" s="37">
        <f>(7760533-1386507)/N87</f>
        <v>20667.377841185433</v>
      </c>
      <c r="O12" s="143" t="s">
        <v>29</v>
      </c>
      <c r="S12" s="38"/>
    </row>
    <row r="13" spans="1:15" ht="203.25" customHeight="1">
      <c r="A13" s="25">
        <v>4</v>
      </c>
      <c r="B13" s="26" t="s">
        <v>30</v>
      </c>
      <c r="C13" s="27" t="s">
        <v>22</v>
      </c>
      <c r="D13" s="28">
        <f>(8060)/12121*100</f>
        <v>66.49616368286445</v>
      </c>
      <c r="E13" s="28">
        <f>(8328)/12121*100</f>
        <v>68.70720237604158</v>
      </c>
      <c r="F13" s="29">
        <f>(8643)/12121*100</f>
        <v>71.30599785496247</v>
      </c>
      <c r="G13" s="29">
        <f>8854.1/12121*100</f>
        <v>73.04760333305833</v>
      </c>
      <c r="H13" s="29">
        <f>9370.29/12121*100</f>
        <v>77.3062453592938</v>
      </c>
      <c r="I13" s="29">
        <f>9483.36/12121*100</f>
        <v>78.23908918406073</v>
      </c>
      <c r="J13" s="29">
        <f>9484.5608/12121*100</f>
        <v>78.24899595742924</v>
      </c>
      <c r="K13" s="29">
        <f>(9484.5608+3.1888)/12121*100</f>
        <v>78.2753040178203</v>
      </c>
      <c r="L13" s="29">
        <v>78.7</v>
      </c>
      <c r="M13" s="29">
        <v>79</v>
      </c>
      <c r="N13" s="29"/>
      <c r="O13" s="143" t="s">
        <v>31</v>
      </c>
    </row>
    <row r="14" spans="1:15" ht="57" customHeight="1">
      <c r="A14" s="25">
        <v>5</v>
      </c>
      <c r="B14" s="26" t="s">
        <v>32</v>
      </c>
      <c r="C14" s="27" t="s">
        <v>33</v>
      </c>
      <c r="D14" s="39">
        <v>0</v>
      </c>
      <c r="E14" s="39">
        <v>0</v>
      </c>
      <c r="F14" s="40">
        <v>0</v>
      </c>
      <c r="G14" s="40">
        <v>0</v>
      </c>
      <c r="H14" s="40">
        <v>0</v>
      </c>
      <c r="I14" s="40">
        <v>0</v>
      </c>
      <c r="J14" s="40">
        <v>0</v>
      </c>
      <c r="K14" s="40">
        <v>0</v>
      </c>
      <c r="L14" s="40">
        <v>0</v>
      </c>
      <c r="M14" s="40">
        <v>0</v>
      </c>
      <c r="N14" s="40"/>
      <c r="O14" s="143" t="s">
        <v>34</v>
      </c>
    </row>
    <row r="15" spans="1:15" ht="147" customHeight="1">
      <c r="A15" s="25">
        <v>6</v>
      </c>
      <c r="B15" s="26" t="s">
        <v>35</v>
      </c>
      <c r="C15" s="27" t="s">
        <v>36</v>
      </c>
      <c r="D15" s="39">
        <v>87.2</v>
      </c>
      <c r="E15" s="39">
        <v>83.7</v>
      </c>
      <c r="F15" s="40">
        <v>73.2</v>
      </c>
      <c r="G15" s="29">
        <f>(458-301)/458*100</f>
        <v>34.27947598253275</v>
      </c>
      <c r="H15" s="29">
        <f>(458-301)/458*100</f>
        <v>34.27947598253275</v>
      </c>
      <c r="I15" s="29">
        <f>100-303.9/460.5*100</f>
        <v>34.00651465798046</v>
      </c>
      <c r="J15" s="29">
        <f>100-303.9/460.5*100</f>
        <v>34.00651465798046</v>
      </c>
      <c r="K15" s="29">
        <f>100-304.7/461.3*100</f>
        <v>33.94753956210708</v>
      </c>
      <c r="L15" s="29">
        <f>100-304.7/461.3*100</f>
        <v>33.94753956210708</v>
      </c>
      <c r="M15" s="29">
        <f>100-304.7/461.3*100</f>
        <v>33.94753956210708</v>
      </c>
      <c r="N15" s="29">
        <f>100-304.7/461.3*100</f>
        <v>33.94753956210708</v>
      </c>
      <c r="O15" s="143" t="s">
        <v>37</v>
      </c>
    </row>
    <row r="16" spans="1:15" ht="147.75" customHeight="1">
      <c r="A16" s="25">
        <v>7</v>
      </c>
      <c r="B16" s="26" t="s">
        <v>38</v>
      </c>
      <c r="C16" s="27" t="s">
        <v>36</v>
      </c>
      <c r="D16" s="39">
        <v>0</v>
      </c>
      <c r="E16" s="39">
        <v>0</v>
      </c>
      <c r="F16" s="40">
        <v>0</v>
      </c>
      <c r="G16" s="37">
        <v>0</v>
      </c>
      <c r="H16" s="40">
        <v>0</v>
      </c>
      <c r="I16" s="40">
        <v>0</v>
      </c>
      <c r="J16" s="40">
        <v>0</v>
      </c>
      <c r="K16" s="40">
        <v>0</v>
      </c>
      <c r="L16" s="40">
        <v>0</v>
      </c>
      <c r="M16" s="40">
        <v>0</v>
      </c>
      <c r="N16" s="40">
        <v>0</v>
      </c>
      <c r="O16" s="144"/>
    </row>
    <row r="17" spans="1:15" ht="56.25" customHeight="1">
      <c r="A17" s="25">
        <v>8</v>
      </c>
      <c r="B17" s="26" t="s">
        <v>39</v>
      </c>
      <c r="C17" s="27"/>
      <c r="D17" s="41"/>
      <c r="E17" s="41"/>
      <c r="F17" s="42"/>
      <c r="G17" s="42"/>
      <c r="H17" s="42"/>
      <c r="I17" s="42"/>
      <c r="J17" s="42"/>
      <c r="K17" s="42"/>
      <c r="L17" s="42"/>
      <c r="M17" s="42"/>
      <c r="N17" s="42"/>
      <c r="O17" s="145"/>
    </row>
    <row r="18" spans="1:15" ht="39" customHeight="1">
      <c r="A18" s="156" t="s">
        <v>175</v>
      </c>
      <c r="B18" s="26" t="s">
        <v>40</v>
      </c>
      <c r="C18" s="27" t="s">
        <v>28</v>
      </c>
      <c r="D18" s="28">
        <v>18245.1</v>
      </c>
      <c r="E18" s="28">
        <v>21435.3</v>
      </c>
      <c r="F18" s="29">
        <v>24151.5</v>
      </c>
      <c r="G18" s="29">
        <v>25916.9</v>
      </c>
      <c r="H18" s="29">
        <v>26727.2</v>
      </c>
      <c r="I18" s="29">
        <v>27960.4</v>
      </c>
      <c r="J18" s="29">
        <v>29580.1</v>
      </c>
      <c r="K18" s="29">
        <v>32318.1</v>
      </c>
      <c r="L18" s="37">
        <f>K18*1.05</f>
        <v>33934.005</v>
      </c>
      <c r="M18" s="37">
        <f>L18*1.04</f>
        <v>35291.3652</v>
      </c>
      <c r="N18" s="37">
        <f>M18*1.04</f>
        <v>36703.019808000005</v>
      </c>
      <c r="O18" s="176" t="s">
        <v>173</v>
      </c>
    </row>
    <row r="19" spans="1:15" ht="39" customHeight="1">
      <c r="A19" s="156" t="s">
        <v>176</v>
      </c>
      <c r="B19" s="26" t="s">
        <v>41</v>
      </c>
      <c r="C19" s="27" t="s">
        <v>28</v>
      </c>
      <c r="D19" s="28">
        <v>8672.3</v>
      </c>
      <c r="E19" s="28">
        <v>9733.3</v>
      </c>
      <c r="F19" s="29">
        <v>13541.5</v>
      </c>
      <c r="G19" s="29">
        <v>14209.2</v>
      </c>
      <c r="H19" s="29">
        <v>14555.3</v>
      </c>
      <c r="I19" s="29">
        <v>15646.1</v>
      </c>
      <c r="J19" s="29">
        <v>17641.6</v>
      </c>
      <c r="K19" s="29">
        <v>20047.1</v>
      </c>
      <c r="L19" s="37">
        <v>22336.81</v>
      </c>
      <c r="M19" s="37">
        <v>23708.81</v>
      </c>
      <c r="N19" s="37">
        <f>M19*1.038</f>
        <v>24609.74478</v>
      </c>
      <c r="O19" s="176"/>
    </row>
    <row r="20" spans="1:15" ht="35.25" customHeight="1">
      <c r="A20" s="156" t="s">
        <v>177</v>
      </c>
      <c r="B20" s="26" t="s">
        <v>42</v>
      </c>
      <c r="C20" s="27" t="s">
        <v>28</v>
      </c>
      <c r="D20" s="28">
        <v>12690.5</v>
      </c>
      <c r="E20" s="28">
        <v>14994.2</v>
      </c>
      <c r="F20" s="29">
        <v>18790.7</v>
      </c>
      <c r="G20" s="29">
        <v>19677.7</v>
      </c>
      <c r="H20" s="29">
        <v>19412.5</v>
      </c>
      <c r="I20" s="29">
        <v>20181.9</v>
      </c>
      <c r="J20" s="29">
        <v>21328</v>
      </c>
      <c r="K20" s="29">
        <v>23215.4</v>
      </c>
      <c r="L20" s="37">
        <v>25175.86</v>
      </c>
      <c r="M20" s="37">
        <f>L20*1.04</f>
        <v>26182.8944</v>
      </c>
      <c r="N20" s="37">
        <f>M20*1.038</f>
        <v>27177.844387200003</v>
      </c>
      <c r="O20" s="176"/>
    </row>
    <row r="21" spans="1:15" ht="39" customHeight="1">
      <c r="A21" s="156" t="s">
        <v>178</v>
      </c>
      <c r="B21" s="26" t="s">
        <v>43</v>
      </c>
      <c r="C21" s="27" t="s">
        <v>28</v>
      </c>
      <c r="D21" s="28">
        <v>12990.64</v>
      </c>
      <c r="E21" s="28">
        <v>16329.5</v>
      </c>
      <c r="F21" s="29">
        <v>21046.5</v>
      </c>
      <c r="G21" s="29">
        <v>22168.59</v>
      </c>
      <c r="H21" s="37">
        <v>21986.97</v>
      </c>
      <c r="I21" s="29">
        <v>21989.9</v>
      </c>
      <c r="J21" s="29">
        <v>23319.35</v>
      </c>
      <c r="K21" s="29">
        <v>24188.08</v>
      </c>
      <c r="L21" s="37">
        <v>25729.72</v>
      </c>
      <c r="M21" s="37">
        <f>L21*1.04</f>
        <v>26758.9088</v>
      </c>
      <c r="N21" s="37">
        <f>M21*1.038</f>
        <v>27775.747334400003</v>
      </c>
      <c r="O21" s="176"/>
    </row>
    <row r="22" spans="1:15" ht="39" customHeight="1">
      <c r="A22" s="156" t="s">
        <v>179</v>
      </c>
      <c r="B22" s="26" t="s">
        <v>181</v>
      </c>
      <c r="C22" s="27" t="s">
        <v>28</v>
      </c>
      <c r="D22" s="28">
        <v>8716</v>
      </c>
      <c r="E22" s="28">
        <v>11186.6</v>
      </c>
      <c r="F22" s="29">
        <v>15684.5</v>
      </c>
      <c r="G22" s="29">
        <v>19237</v>
      </c>
      <c r="H22" s="29">
        <v>20514.8</v>
      </c>
      <c r="I22" s="29">
        <v>21681.1</v>
      </c>
      <c r="J22" s="29">
        <v>24616</v>
      </c>
      <c r="K22" s="29">
        <v>27599.2</v>
      </c>
      <c r="L22" s="37">
        <f>K22*1.013</f>
        <v>27957.989599999997</v>
      </c>
      <c r="M22" s="37">
        <f>L22*1.04</f>
        <v>29076.309183999998</v>
      </c>
      <c r="N22" s="37">
        <f>M22*1.039</f>
        <v>30210.285242175996</v>
      </c>
      <c r="O22" s="176"/>
    </row>
    <row r="23" spans="1:15" ht="42.75" customHeight="1">
      <c r="A23" s="156" t="s">
        <v>180</v>
      </c>
      <c r="B23" s="26" t="s">
        <v>44</v>
      </c>
      <c r="C23" s="27" t="s">
        <v>28</v>
      </c>
      <c r="D23" s="28">
        <v>9086.8</v>
      </c>
      <c r="E23" s="28">
        <v>12909</v>
      </c>
      <c r="F23" s="29">
        <v>17111.6</v>
      </c>
      <c r="G23" s="29">
        <v>18344</v>
      </c>
      <c r="H23" s="29">
        <v>18402.1</v>
      </c>
      <c r="I23" s="29">
        <v>19391.7</v>
      </c>
      <c r="J23" s="29">
        <v>17856.1</v>
      </c>
      <c r="K23" s="29">
        <v>17944.4</v>
      </c>
      <c r="L23" s="37">
        <f>K23*1.013</f>
        <v>18177.6772</v>
      </c>
      <c r="M23" s="37">
        <f>L23*1.04</f>
        <v>18904.784288</v>
      </c>
      <c r="N23" s="37">
        <f>M23*1.039</f>
        <v>19642.070875232</v>
      </c>
      <c r="O23" s="176"/>
    </row>
    <row r="24" spans="1:15" ht="31.5" customHeight="1">
      <c r="A24" s="177" t="s">
        <v>45</v>
      </c>
      <c r="B24" s="177"/>
      <c r="C24" s="177"/>
      <c r="D24" s="177"/>
      <c r="E24" s="177"/>
      <c r="F24" s="177"/>
      <c r="G24" s="177"/>
      <c r="H24" s="177"/>
      <c r="I24" s="177"/>
      <c r="J24" s="177"/>
      <c r="K24" s="177"/>
      <c r="L24" s="177"/>
      <c r="M24" s="177"/>
      <c r="N24" s="177"/>
      <c r="O24" s="177"/>
    </row>
    <row r="25" spans="1:15" ht="129.75" customHeight="1">
      <c r="A25" s="25">
        <v>9</v>
      </c>
      <c r="B25" s="26" t="s">
        <v>46</v>
      </c>
      <c r="C25" s="27" t="s">
        <v>36</v>
      </c>
      <c r="D25" s="28">
        <v>82</v>
      </c>
      <c r="E25" s="28">
        <v>86.5</v>
      </c>
      <c r="F25" s="29">
        <v>90.3</v>
      </c>
      <c r="G25" s="29">
        <v>92.1</v>
      </c>
      <c r="H25" s="29">
        <v>92</v>
      </c>
      <c r="I25" s="29">
        <f>I26/I27*100</f>
        <v>97.85610869807329</v>
      </c>
      <c r="J25" s="29">
        <v>98.3</v>
      </c>
      <c r="K25" s="29">
        <v>104.4</v>
      </c>
      <c r="L25" s="29">
        <f>L26/L27*100</f>
        <v>102.44296048970507</v>
      </c>
      <c r="M25" s="29">
        <f>M26/M27*100</f>
        <v>104.10522788203752</v>
      </c>
      <c r="N25" s="29">
        <f>N26/N27*100</f>
        <v>105.97107671449552</v>
      </c>
      <c r="O25" s="143" t="s">
        <v>47</v>
      </c>
    </row>
    <row r="26" spans="1:15" ht="18.75" customHeight="1" hidden="1">
      <c r="A26" s="25"/>
      <c r="B26" s="43" t="s">
        <v>48</v>
      </c>
      <c r="C26" s="27"/>
      <c r="D26" s="28"/>
      <c r="E26" s="28">
        <v>14693</v>
      </c>
      <c r="F26" s="44">
        <v>15407</v>
      </c>
      <c r="G26" s="44">
        <v>16098</v>
      </c>
      <c r="H26" s="44">
        <v>16676</v>
      </c>
      <c r="I26" s="44">
        <v>17573</v>
      </c>
      <c r="J26" s="44">
        <v>17856</v>
      </c>
      <c r="K26" s="44">
        <v>18342</v>
      </c>
      <c r="L26" s="44">
        <v>18409</v>
      </c>
      <c r="M26" s="44">
        <v>18639</v>
      </c>
      <c r="N26" s="44">
        <v>18759</v>
      </c>
      <c r="O26" s="143"/>
    </row>
    <row r="27" spans="1:19" s="48" customFormat="1" ht="22.5" customHeight="1" hidden="1">
      <c r="A27" s="45"/>
      <c r="B27" s="43" t="s">
        <v>49</v>
      </c>
      <c r="C27" s="46"/>
      <c r="D27" s="47"/>
      <c r="E27" s="47">
        <v>16986</v>
      </c>
      <c r="F27" s="44">
        <v>17318</v>
      </c>
      <c r="G27" s="44">
        <v>17480</v>
      </c>
      <c r="H27" s="44">
        <v>17635</v>
      </c>
      <c r="I27" s="44">
        <v>17958</v>
      </c>
      <c r="J27" s="44">
        <v>18171</v>
      </c>
      <c r="K27" s="44">
        <v>18003</v>
      </c>
      <c r="L27" s="44">
        <v>17970</v>
      </c>
      <c r="M27" s="44">
        <v>17904</v>
      </c>
      <c r="N27" s="44">
        <v>17702</v>
      </c>
      <c r="O27" s="143"/>
      <c r="S27" s="49"/>
    </row>
    <row r="28" spans="1:15" ht="99" customHeight="1">
      <c r="A28" s="50">
        <v>10</v>
      </c>
      <c r="B28" s="51" t="s">
        <v>50</v>
      </c>
      <c r="C28" s="52" t="s">
        <v>36</v>
      </c>
      <c r="D28" s="53">
        <f>6535/16769*100</f>
        <v>38.97071978054744</v>
      </c>
      <c r="E28" s="53">
        <f>5846/17195*100</f>
        <v>33.99825530677523</v>
      </c>
      <c r="F28" s="54">
        <v>33</v>
      </c>
      <c r="G28" s="54">
        <v>35</v>
      </c>
      <c r="H28" s="54">
        <f aca="true" t="shared" si="1" ref="H28:N28">H29/H30*100</f>
        <v>30.33739722143465</v>
      </c>
      <c r="I28" s="55">
        <f t="shared" si="1"/>
        <v>33.21082525893752</v>
      </c>
      <c r="J28" s="29">
        <f t="shared" si="1"/>
        <v>33.773595289197075</v>
      </c>
      <c r="K28" s="37">
        <f t="shared" si="1"/>
        <v>31.633616619452315</v>
      </c>
      <c r="L28" s="37">
        <f t="shared" si="1"/>
        <v>31.27434613244296</v>
      </c>
      <c r="M28" s="37">
        <f t="shared" si="1"/>
        <v>30.272564789991062</v>
      </c>
      <c r="N28" s="37">
        <f t="shared" si="1"/>
        <v>29.94011976047904</v>
      </c>
      <c r="O28" s="142" t="s">
        <v>51</v>
      </c>
    </row>
    <row r="29" spans="1:19" s="60" customFormat="1" ht="17.25" customHeight="1" hidden="1">
      <c r="A29" s="30"/>
      <c r="B29" s="31" t="s">
        <v>52</v>
      </c>
      <c r="C29" s="56"/>
      <c r="D29" s="57"/>
      <c r="E29" s="57">
        <v>7509</v>
      </c>
      <c r="F29" s="58">
        <v>7409</v>
      </c>
      <c r="G29" s="59">
        <v>6070</v>
      </c>
      <c r="H29" s="59">
        <v>5350</v>
      </c>
      <c r="I29" s="59">
        <v>5964</v>
      </c>
      <c r="J29" s="44">
        <v>6137</v>
      </c>
      <c r="K29" s="44">
        <v>5695</v>
      </c>
      <c r="L29" s="44">
        <v>5620</v>
      </c>
      <c r="M29" s="44">
        <v>5420</v>
      </c>
      <c r="N29" s="44">
        <v>5300</v>
      </c>
      <c r="O29" s="143"/>
      <c r="S29" s="61"/>
    </row>
    <row r="30" spans="1:19" s="66" customFormat="1" ht="15.75" hidden="1">
      <c r="A30" s="50"/>
      <c r="B30" s="62" t="s">
        <v>49</v>
      </c>
      <c r="C30" s="63"/>
      <c r="D30" s="64"/>
      <c r="E30" s="64">
        <v>16986</v>
      </c>
      <c r="F30" s="65">
        <v>17318</v>
      </c>
      <c r="G30" s="65">
        <v>17480</v>
      </c>
      <c r="H30" s="65">
        <v>17635</v>
      </c>
      <c r="I30" s="65">
        <v>17958</v>
      </c>
      <c r="J30" s="44">
        <v>18171</v>
      </c>
      <c r="K30" s="44">
        <v>18003</v>
      </c>
      <c r="L30" s="44">
        <v>17970</v>
      </c>
      <c r="M30" s="44">
        <v>17904</v>
      </c>
      <c r="N30" s="44">
        <v>17702</v>
      </c>
      <c r="O30" s="143"/>
      <c r="S30" s="67"/>
    </row>
    <row r="31" spans="1:19" s="66" customFormat="1" ht="117" customHeight="1">
      <c r="A31" s="50">
        <v>11</v>
      </c>
      <c r="B31" s="51" t="s">
        <v>53</v>
      </c>
      <c r="C31" s="52" t="s">
        <v>36</v>
      </c>
      <c r="D31" s="68">
        <f>10/74*100</f>
        <v>13.513513513513514</v>
      </c>
      <c r="E31" s="68">
        <f>1/76*100</f>
        <v>1.3157894736842104</v>
      </c>
      <c r="F31" s="69">
        <v>0</v>
      </c>
      <c r="G31" s="69">
        <v>0</v>
      </c>
      <c r="H31" s="69">
        <v>0</v>
      </c>
      <c r="I31" s="69">
        <v>0</v>
      </c>
      <c r="J31" s="40">
        <v>1.23</v>
      </c>
      <c r="K31" s="40">
        <v>1.23</v>
      </c>
      <c r="L31" s="40">
        <v>0</v>
      </c>
      <c r="M31" s="40">
        <v>0</v>
      </c>
      <c r="N31" s="40">
        <v>0</v>
      </c>
      <c r="O31" s="143" t="s">
        <v>54</v>
      </c>
      <c r="S31" s="67"/>
    </row>
    <row r="32" spans="1:15" ht="30.75" customHeight="1">
      <c r="A32" s="177" t="s">
        <v>55</v>
      </c>
      <c r="B32" s="177"/>
      <c r="C32" s="177"/>
      <c r="D32" s="177"/>
      <c r="E32" s="177"/>
      <c r="F32" s="177"/>
      <c r="G32" s="177"/>
      <c r="H32" s="177"/>
      <c r="I32" s="177"/>
      <c r="J32" s="177"/>
      <c r="K32" s="177"/>
      <c r="L32" s="177"/>
      <c r="M32" s="177"/>
      <c r="N32" s="177"/>
      <c r="O32" s="177"/>
    </row>
    <row r="33" spans="1:15" ht="120" customHeight="1">
      <c r="A33" s="25">
        <v>13</v>
      </c>
      <c r="B33" s="26" t="s">
        <v>56</v>
      </c>
      <c r="C33" s="27" t="s">
        <v>36</v>
      </c>
      <c r="D33" s="28">
        <v>1</v>
      </c>
      <c r="E33" s="39">
        <v>0.52</v>
      </c>
      <c r="F33" s="40">
        <v>0.58</v>
      </c>
      <c r="G33" s="40">
        <v>0.6</v>
      </c>
      <c r="H33" s="40">
        <v>0.6</v>
      </c>
      <c r="I33" s="29">
        <v>0.64</v>
      </c>
      <c r="J33" s="29">
        <f>7/1355*100</f>
        <v>0.5166051660516605</v>
      </c>
      <c r="K33" s="40">
        <v>0.2</v>
      </c>
      <c r="L33" s="40">
        <v>0</v>
      </c>
      <c r="M33" s="40">
        <v>0</v>
      </c>
      <c r="N33" s="40">
        <v>0</v>
      </c>
      <c r="O33" s="143" t="s">
        <v>57</v>
      </c>
    </row>
    <row r="34" spans="1:15" ht="126" customHeight="1">
      <c r="A34" s="25">
        <v>14</v>
      </c>
      <c r="B34" s="26" t="s">
        <v>58</v>
      </c>
      <c r="C34" s="27" t="s">
        <v>36</v>
      </c>
      <c r="D34" s="39">
        <v>74.2</v>
      </c>
      <c r="E34" s="39">
        <v>73.5</v>
      </c>
      <c r="F34" s="40">
        <v>76.2</v>
      </c>
      <c r="G34" s="29">
        <v>80.64</v>
      </c>
      <c r="H34" s="40">
        <v>83.95</v>
      </c>
      <c r="I34" s="40">
        <v>85.6</v>
      </c>
      <c r="J34" s="29">
        <v>86</v>
      </c>
      <c r="K34" s="40">
        <v>86</v>
      </c>
      <c r="L34" s="40">
        <v>86.5</v>
      </c>
      <c r="M34" s="40">
        <v>87</v>
      </c>
      <c r="N34" s="40">
        <v>87.5</v>
      </c>
      <c r="O34" s="143" t="s">
        <v>59</v>
      </c>
    </row>
    <row r="35" spans="1:15" ht="129" customHeight="1">
      <c r="A35" s="25">
        <v>15</v>
      </c>
      <c r="B35" s="26" t="s">
        <v>60</v>
      </c>
      <c r="C35" s="27" t="s">
        <v>36</v>
      </c>
      <c r="D35" s="39">
        <v>2.3</v>
      </c>
      <c r="E35" s="39">
        <v>2.3</v>
      </c>
      <c r="F35" s="40">
        <v>7</v>
      </c>
      <c r="G35" s="40">
        <v>2.4</v>
      </c>
      <c r="H35" s="40">
        <v>2</v>
      </c>
      <c r="I35" s="40">
        <v>0</v>
      </c>
      <c r="J35" s="40">
        <v>0</v>
      </c>
      <c r="K35" s="40">
        <v>0</v>
      </c>
      <c r="L35" s="40">
        <v>0</v>
      </c>
      <c r="M35" s="40">
        <v>0</v>
      </c>
      <c r="N35" s="40"/>
      <c r="O35" s="143"/>
    </row>
    <row r="36" spans="1:15" ht="92.25" customHeight="1">
      <c r="A36" s="25">
        <v>16</v>
      </c>
      <c r="B36" s="26" t="s">
        <v>61</v>
      </c>
      <c r="C36" s="27" t="s">
        <v>22</v>
      </c>
      <c r="D36" s="39">
        <v>83.2</v>
      </c>
      <c r="E36" s="39">
        <v>83.2</v>
      </c>
      <c r="F36" s="40">
        <v>83.8</v>
      </c>
      <c r="G36" s="40">
        <v>84.1</v>
      </c>
      <c r="H36" s="40">
        <v>83.6</v>
      </c>
      <c r="I36" s="40">
        <v>83.3</v>
      </c>
      <c r="J36" s="40">
        <v>87.4</v>
      </c>
      <c r="K36" s="40">
        <v>74.5</v>
      </c>
      <c r="L36" s="40">
        <v>74.5</v>
      </c>
      <c r="M36" s="40">
        <v>75</v>
      </c>
      <c r="N36" s="40">
        <v>78</v>
      </c>
      <c r="O36" s="143" t="s">
        <v>62</v>
      </c>
    </row>
    <row r="37" spans="1:15" ht="114" customHeight="1">
      <c r="A37" s="25">
        <v>17</v>
      </c>
      <c r="B37" s="26" t="s">
        <v>63</v>
      </c>
      <c r="C37" s="27" t="s">
        <v>22</v>
      </c>
      <c r="D37" s="39">
        <v>23</v>
      </c>
      <c r="E37" s="28">
        <v>24.95</v>
      </c>
      <c r="F37" s="29">
        <v>26.6</v>
      </c>
      <c r="G37" s="29">
        <v>25.7</v>
      </c>
      <c r="H37" s="29">
        <v>24.4</v>
      </c>
      <c r="I37" s="29">
        <v>23.1</v>
      </c>
      <c r="J37" s="29">
        <v>23</v>
      </c>
      <c r="K37" s="29">
        <v>24.7</v>
      </c>
      <c r="L37" s="37">
        <v>24</v>
      </c>
      <c r="M37" s="37">
        <v>23.5</v>
      </c>
      <c r="N37" s="37">
        <v>23.2</v>
      </c>
      <c r="O37" s="143" t="s">
        <v>64</v>
      </c>
    </row>
    <row r="38" spans="1:19" s="74" customFormat="1" ht="91.5" customHeight="1">
      <c r="A38" s="70">
        <v>18</v>
      </c>
      <c r="B38" s="71" t="s">
        <v>65</v>
      </c>
      <c r="C38" s="72" t="s">
        <v>66</v>
      </c>
      <c r="D38" s="28">
        <v>34</v>
      </c>
      <c r="E38" s="28">
        <v>35.8</v>
      </c>
      <c r="F38" s="29">
        <v>42.07</v>
      </c>
      <c r="G38" s="73">
        <v>11.44</v>
      </c>
      <c r="H38" s="73">
        <v>13.08</v>
      </c>
      <c r="I38" s="73">
        <v>10.83</v>
      </c>
      <c r="J38" s="73">
        <v>16.37</v>
      </c>
      <c r="K38" s="73">
        <v>14.55</v>
      </c>
      <c r="L38" s="73">
        <v>13.26</v>
      </c>
      <c r="M38" s="73">
        <v>10.35</v>
      </c>
      <c r="N38" s="73">
        <v>10.7</v>
      </c>
      <c r="O38" s="146" t="s">
        <v>165</v>
      </c>
      <c r="S38" s="75"/>
    </row>
    <row r="39" spans="1:19" s="66" customFormat="1" ht="201" customHeight="1">
      <c r="A39" s="50">
        <v>19</v>
      </c>
      <c r="B39" s="51" t="s">
        <v>67</v>
      </c>
      <c r="C39" s="52" t="s">
        <v>68</v>
      </c>
      <c r="D39" s="68">
        <f>(17494+5815)/40606*100</f>
        <v>57.4028468699207</v>
      </c>
      <c r="E39" s="68">
        <f>(17241+5693)/39244*100</f>
        <v>58.439506676179796</v>
      </c>
      <c r="F39" s="55">
        <f>(F40+F41+F42+F43)/F45*100</f>
        <v>93.33403538331929</v>
      </c>
      <c r="G39" s="55">
        <f>(G40+G41+G42+G43)/G45*100</f>
        <v>93.1048100465998</v>
      </c>
      <c r="H39" s="55">
        <f>(H40+H41+H42+H43)/H45*100</f>
        <v>91.993281075028</v>
      </c>
      <c r="I39" s="55">
        <f aca="true" t="shared" si="2" ref="I39:N39">(I40+I41+I42+I43+I44)/I45*100</f>
        <v>93.89782403027436</v>
      </c>
      <c r="J39" s="29">
        <f t="shared" si="2"/>
        <v>92.29648290851611</v>
      </c>
      <c r="K39" s="29">
        <f>(K40+K41+K42+K43+K44)/K45*100</f>
        <v>73.39973993473834</v>
      </c>
      <c r="L39" s="29">
        <f t="shared" si="2"/>
        <v>73.88376950485318</v>
      </c>
      <c r="M39" s="29">
        <f t="shared" si="2"/>
        <v>74.01536158621875</v>
      </c>
      <c r="N39" s="29">
        <f t="shared" si="2"/>
        <v>74.04125508425335</v>
      </c>
      <c r="O39" s="142" t="s">
        <v>183</v>
      </c>
      <c r="S39" s="67"/>
    </row>
    <row r="40" spans="1:19" s="48" customFormat="1" ht="15.75" hidden="1">
      <c r="A40" s="45"/>
      <c r="B40" s="43" t="s">
        <v>69</v>
      </c>
      <c r="C40" s="46"/>
      <c r="D40" s="76">
        <v>17494</v>
      </c>
      <c r="E40" s="76">
        <v>17421</v>
      </c>
      <c r="F40" s="44">
        <v>16786</v>
      </c>
      <c r="G40" s="44">
        <v>16900</v>
      </c>
      <c r="H40" s="44">
        <v>17445</v>
      </c>
      <c r="I40" s="44">
        <v>18068</v>
      </c>
      <c r="J40" s="44">
        <v>18318</v>
      </c>
      <c r="K40" s="44">
        <v>18139</v>
      </c>
      <c r="L40" s="44">
        <v>18285</v>
      </c>
      <c r="M40" s="44">
        <v>18380</v>
      </c>
      <c r="N40" s="44">
        <v>18800</v>
      </c>
      <c r="O40" s="147"/>
      <c r="S40" s="49"/>
    </row>
    <row r="41" spans="1:19" s="48" customFormat="1" ht="15.75" hidden="1">
      <c r="A41" s="45"/>
      <c r="B41" s="43" t="s">
        <v>70</v>
      </c>
      <c r="C41" s="46"/>
      <c r="D41" s="76"/>
      <c r="E41" s="76"/>
      <c r="F41" s="44">
        <v>6914</v>
      </c>
      <c r="G41" s="44">
        <v>6772</v>
      </c>
      <c r="H41" s="44">
        <v>6974</v>
      </c>
      <c r="I41" s="44">
        <f>7086+398</f>
        <v>7484</v>
      </c>
      <c r="J41" s="44">
        <v>6582</v>
      </c>
      <c r="K41" s="44">
        <f>3601+1670+1485</f>
        <v>6756</v>
      </c>
      <c r="L41" s="44">
        <v>6760</v>
      </c>
      <c r="M41" s="44">
        <v>6760</v>
      </c>
      <c r="N41" s="44">
        <v>6760</v>
      </c>
      <c r="O41" s="147"/>
      <c r="S41" s="49"/>
    </row>
    <row r="42" spans="1:19" s="48" customFormat="1" ht="15.75" hidden="1">
      <c r="A42" s="45"/>
      <c r="B42" s="43" t="s">
        <v>71</v>
      </c>
      <c r="C42" s="46"/>
      <c r="D42" s="76"/>
      <c r="E42" s="76"/>
      <c r="F42" s="44">
        <v>6190</v>
      </c>
      <c r="G42" s="44">
        <v>6202</v>
      </c>
      <c r="H42" s="44">
        <v>6259</v>
      </c>
      <c r="I42" s="44">
        <v>6364</v>
      </c>
      <c r="J42" s="44">
        <v>6694</v>
      </c>
      <c r="K42" s="44"/>
      <c r="L42" s="44"/>
      <c r="M42" s="44"/>
      <c r="N42" s="44"/>
      <c r="O42" s="147"/>
      <c r="S42" s="49"/>
    </row>
    <row r="43" spans="1:19" s="48" customFormat="1" ht="15.75" hidden="1">
      <c r="A43" s="77"/>
      <c r="B43" s="31" t="s">
        <v>72</v>
      </c>
      <c r="C43" s="32"/>
      <c r="D43" s="78">
        <v>5815</v>
      </c>
      <c r="E43" s="78">
        <v>5693</v>
      </c>
      <c r="F43" s="59">
        <v>5562</v>
      </c>
      <c r="G43" s="59">
        <v>5490</v>
      </c>
      <c r="H43" s="59">
        <v>5468</v>
      </c>
      <c r="I43" s="59">
        <v>5401</v>
      </c>
      <c r="J43" s="44">
        <v>5377</v>
      </c>
      <c r="K43" s="44">
        <v>5022</v>
      </c>
      <c r="L43" s="44">
        <v>5022</v>
      </c>
      <c r="M43" s="44">
        <v>5022</v>
      </c>
      <c r="N43" s="44">
        <v>5022</v>
      </c>
      <c r="O43" s="147"/>
      <c r="S43" s="49"/>
    </row>
    <row r="44" spans="1:19" s="48" customFormat="1" ht="15.75" hidden="1">
      <c r="A44" s="45"/>
      <c r="B44" s="43" t="s">
        <v>73</v>
      </c>
      <c r="C44" s="46"/>
      <c r="D44" s="76"/>
      <c r="E44" s="76"/>
      <c r="F44" s="44"/>
      <c r="G44" s="44"/>
      <c r="H44" s="44"/>
      <c r="I44" s="44">
        <v>398</v>
      </c>
      <c r="J44" s="44">
        <v>398</v>
      </c>
      <c r="K44" s="44"/>
      <c r="L44" s="44"/>
      <c r="M44" s="44"/>
      <c r="N44" s="44"/>
      <c r="O44" s="147"/>
      <c r="S44" s="49"/>
    </row>
    <row r="45" spans="1:19" s="48" customFormat="1" ht="15.75" hidden="1">
      <c r="A45" s="45"/>
      <c r="B45" s="43" t="s">
        <v>74</v>
      </c>
      <c r="C45" s="46"/>
      <c r="D45" s="47"/>
      <c r="E45" s="47"/>
      <c r="F45" s="44">
        <v>37984</v>
      </c>
      <c r="G45" s="44">
        <v>37983</v>
      </c>
      <c r="H45" s="44">
        <v>39292</v>
      </c>
      <c r="I45" s="44">
        <v>40166</v>
      </c>
      <c r="J45" s="44">
        <v>40488</v>
      </c>
      <c r="K45" s="44">
        <v>40759</v>
      </c>
      <c r="L45" s="44">
        <v>40695</v>
      </c>
      <c r="M45" s="44">
        <v>40751</v>
      </c>
      <c r="N45" s="44">
        <v>41304</v>
      </c>
      <c r="O45" s="147"/>
      <c r="S45" s="49"/>
    </row>
    <row r="46" spans="1:15" ht="27.75" customHeight="1">
      <c r="A46" s="177" t="s">
        <v>75</v>
      </c>
      <c r="B46" s="177"/>
      <c r="C46" s="177"/>
      <c r="D46" s="177"/>
      <c r="E46" s="177"/>
      <c r="F46" s="177"/>
      <c r="G46" s="177"/>
      <c r="H46" s="177"/>
      <c r="I46" s="177"/>
      <c r="J46" s="177"/>
      <c r="K46" s="177"/>
      <c r="L46" s="177"/>
      <c r="M46" s="177"/>
      <c r="N46" s="177"/>
      <c r="O46" s="177"/>
    </row>
    <row r="47" spans="1:15" ht="54.75" customHeight="1">
      <c r="A47" s="25">
        <v>20</v>
      </c>
      <c r="B47" s="26" t="s">
        <v>76</v>
      </c>
      <c r="C47" s="27"/>
      <c r="D47" s="41"/>
      <c r="E47" s="41"/>
      <c r="F47" s="42"/>
      <c r="G47" s="42"/>
      <c r="H47" s="42"/>
      <c r="I47" s="42"/>
      <c r="J47" s="42"/>
      <c r="K47" s="42"/>
      <c r="L47" s="42"/>
      <c r="M47" s="42"/>
      <c r="N47" s="42"/>
      <c r="O47" s="176" t="s">
        <v>77</v>
      </c>
    </row>
    <row r="48" spans="1:15" ht="41.25" customHeight="1">
      <c r="A48" s="25"/>
      <c r="B48" s="26" t="s">
        <v>78</v>
      </c>
      <c r="C48" s="27" t="s">
        <v>22</v>
      </c>
      <c r="D48" s="28">
        <f>1968/20/D87*100</f>
        <v>30.933668657654824</v>
      </c>
      <c r="E48" s="28">
        <f>1968/20/E87*100</f>
        <v>30.88153604258137</v>
      </c>
      <c r="F48" s="29">
        <f>1968/20/F87*100</f>
        <v>30.981782460029095</v>
      </c>
      <c r="G48" s="29">
        <f>(1968)/20/G87*100</f>
        <v>30.91296931008159</v>
      </c>
      <c r="H48" s="29">
        <f>1968/(H87*20)*100</f>
        <v>30.78838927287461</v>
      </c>
      <c r="I48" s="29">
        <v>66.7</v>
      </c>
      <c r="J48" s="29">
        <v>66.7</v>
      </c>
      <c r="K48" s="29">
        <v>66.7</v>
      </c>
      <c r="L48" s="29">
        <v>66.7</v>
      </c>
      <c r="M48" s="29">
        <v>66.7</v>
      </c>
      <c r="N48" s="29"/>
      <c r="O48" s="176"/>
    </row>
    <row r="49" spans="1:15" ht="44.25" customHeight="1">
      <c r="A49" s="25"/>
      <c r="B49" s="26" t="s">
        <v>79</v>
      </c>
      <c r="C49" s="27" t="s">
        <v>22</v>
      </c>
      <c r="D49" s="28">
        <f>(18+0.09*27+1)/32*100</f>
        <v>66.96875</v>
      </c>
      <c r="E49" s="28">
        <f>(18+0.09*27+1)/32*100</f>
        <v>66.96875</v>
      </c>
      <c r="F49" s="29">
        <f>(18+0.09*27+1)/32*100</f>
        <v>66.96875</v>
      </c>
      <c r="G49" s="29">
        <f>(18+0.09*34+1)/32*100</f>
        <v>68.9375</v>
      </c>
      <c r="H49" s="29">
        <v>70.6</v>
      </c>
      <c r="I49" s="29">
        <v>90</v>
      </c>
      <c r="J49" s="29">
        <v>90</v>
      </c>
      <c r="K49" s="29">
        <v>90</v>
      </c>
      <c r="L49" s="29">
        <v>90</v>
      </c>
      <c r="M49" s="29">
        <v>90</v>
      </c>
      <c r="N49" s="29"/>
      <c r="O49" s="176"/>
    </row>
    <row r="50" spans="1:15" ht="45" customHeight="1">
      <c r="A50" s="25"/>
      <c r="B50" s="26" t="s">
        <v>80</v>
      </c>
      <c r="C50" s="27" t="s">
        <v>22</v>
      </c>
      <c r="D50" s="39">
        <v>66.7</v>
      </c>
      <c r="E50" s="39">
        <v>66.7</v>
      </c>
      <c r="F50" s="40">
        <v>66.7</v>
      </c>
      <c r="G50" s="40">
        <v>66.7</v>
      </c>
      <c r="H50" s="40">
        <v>66.7</v>
      </c>
      <c r="I50" s="40">
        <v>20</v>
      </c>
      <c r="J50" s="40">
        <v>20</v>
      </c>
      <c r="K50" s="40">
        <v>20</v>
      </c>
      <c r="L50" s="40">
        <v>20</v>
      </c>
      <c r="M50" s="40">
        <v>20</v>
      </c>
      <c r="N50" s="40"/>
      <c r="O50" s="176"/>
    </row>
    <row r="51" spans="1:15" ht="104.25" customHeight="1">
      <c r="A51" s="25">
        <v>21</v>
      </c>
      <c r="B51" s="26" t="s">
        <v>81</v>
      </c>
      <c r="C51" s="27" t="s">
        <v>22</v>
      </c>
      <c r="D51" s="39">
        <v>2</v>
      </c>
      <c r="E51" s="39">
        <v>2</v>
      </c>
      <c r="F51" s="40">
        <v>0</v>
      </c>
      <c r="G51" s="40">
        <v>0</v>
      </c>
      <c r="H51" s="40">
        <v>0</v>
      </c>
      <c r="I51" s="40">
        <v>0</v>
      </c>
      <c r="J51" s="40">
        <v>0</v>
      </c>
      <c r="K51" s="40">
        <v>0</v>
      </c>
      <c r="L51" s="40">
        <v>0</v>
      </c>
      <c r="M51" s="40">
        <v>0</v>
      </c>
      <c r="N51" s="40"/>
      <c r="O51" s="176"/>
    </row>
    <row r="52" spans="1:15" ht="122.25" customHeight="1">
      <c r="A52" s="25">
        <v>22</v>
      </c>
      <c r="B52" s="26" t="s">
        <v>82</v>
      </c>
      <c r="C52" s="27" t="s">
        <v>22</v>
      </c>
      <c r="D52" s="79">
        <f>24/45*100</f>
        <v>53.333333333333336</v>
      </c>
      <c r="E52" s="79">
        <f>24/45*100</f>
        <v>53.333333333333336</v>
      </c>
      <c r="F52" s="37">
        <f>24/45*100</f>
        <v>53.333333333333336</v>
      </c>
      <c r="G52" s="37">
        <f>24/44*100</f>
        <v>54.54545454545454</v>
      </c>
      <c r="H52" s="37">
        <f>26/44*100</f>
        <v>59.09090909090909</v>
      </c>
      <c r="I52" s="37">
        <f>24/44*100</f>
        <v>54.54545454545454</v>
      </c>
      <c r="J52" s="37">
        <f>22/44*100</f>
        <v>50</v>
      </c>
      <c r="K52" s="37">
        <v>50</v>
      </c>
      <c r="L52" s="37">
        <f>20/44*100</f>
        <v>45.45454545454545</v>
      </c>
      <c r="M52" s="37">
        <f>18/44*100</f>
        <v>40.909090909090914</v>
      </c>
      <c r="N52" s="37">
        <f>16/44*100</f>
        <v>36.36363636363637</v>
      </c>
      <c r="O52" s="143" t="s">
        <v>83</v>
      </c>
    </row>
    <row r="53" spans="1:19" s="66" customFormat="1" ht="30" customHeight="1">
      <c r="A53" s="178" t="s">
        <v>84</v>
      </c>
      <c r="B53" s="178"/>
      <c r="C53" s="178"/>
      <c r="D53" s="178"/>
      <c r="E53" s="178"/>
      <c r="F53" s="178"/>
      <c r="G53" s="178"/>
      <c r="H53" s="178"/>
      <c r="I53" s="178"/>
      <c r="J53" s="178"/>
      <c r="K53" s="178"/>
      <c r="L53" s="178"/>
      <c r="M53" s="178"/>
      <c r="N53" s="178"/>
      <c r="O53" s="178"/>
      <c r="S53" s="67"/>
    </row>
    <row r="54" spans="1:19" s="66" customFormat="1" ht="99" customHeight="1">
      <c r="A54" s="50">
        <v>24</v>
      </c>
      <c r="B54" s="51" t="s">
        <v>85</v>
      </c>
      <c r="C54" s="52"/>
      <c r="D54" s="68"/>
      <c r="E54" s="68"/>
      <c r="F54" s="55"/>
      <c r="G54" s="55">
        <f>56214/G56*100</f>
        <v>18.84996881475967</v>
      </c>
      <c r="H54" s="55">
        <f>57437/H56*100</f>
        <v>19.10796029169106</v>
      </c>
      <c r="I54" s="55">
        <f>57721/I56*100</f>
        <v>19.226041975464906</v>
      </c>
      <c r="J54" s="29">
        <f>63213/J56*100</f>
        <v>21.170359554174258</v>
      </c>
      <c r="K54" s="29">
        <f>77766/K56*100</f>
        <v>26.36770205710527</v>
      </c>
      <c r="L54" s="29">
        <f>78100/L56*100</f>
        <v>26.40940323540551</v>
      </c>
      <c r="M54" s="29">
        <f>78500/M56*100</f>
        <v>26.48894887801586</v>
      </c>
      <c r="N54" s="29">
        <f>78900/N56*100</f>
        <v>26.56610380646139</v>
      </c>
      <c r="O54" s="143" t="s">
        <v>86</v>
      </c>
      <c r="S54" s="67"/>
    </row>
    <row r="55" spans="1:19" s="66" customFormat="1" ht="15.75" hidden="1">
      <c r="A55" s="50"/>
      <c r="B55" s="51"/>
      <c r="C55" s="52"/>
      <c r="D55" s="68"/>
      <c r="E55" s="68"/>
      <c r="F55" s="55"/>
      <c r="G55" s="65">
        <v>56214</v>
      </c>
      <c r="H55" s="65">
        <v>57437</v>
      </c>
      <c r="I55" s="65">
        <v>57721</v>
      </c>
      <c r="J55" s="44">
        <v>63213</v>
      </c>
      <c r="K55" s="44">
        <v>77766</v>
      </c>
      <c r="L55" s="44">
        <v>78100</v>
      </c>
      <c r="M55" s="44">
        <v>78500</v>
      </c>
      <c r="N55" s="44">
        <v>78900</v>
      </c>
      <c r="O55" s="143"/>
      <c r="S55" s="67"/>
    </row>
    <row r="56" spans="1:19" s="86" customFormat="1" ht="15.75" hidden="1">
      <c r="A56" s="80"/>
      <c r="B56" s="81" t="s">
        <v>87</v>
      </c>
      <c r="C56" s="82"/>
      <c r="D56" s="83"/>
      <c r="E56" s="83"/>
      <c r="F56" s="84"/>
      <c r="G56" s="84">
        <v>298218</v>
      </c>
      <c r="H56" s="84">
        <v>300592</v>
      </c>
      <c r="I56" s="84">
        <v>300223</v>
      </c>
      <c r="J56" s="85">
        <v>298592</v>
      </c>
      <c r="K56" s="85">
        <v>294929</v>
      </c>
      <c r="L56" s="85">
        <v>295728</v>
      </c>
      <c r="M56" s="85">
        <v>296350</v>
      </c>
      <c r="N56" s="85">
        <v>296995</v>
      </c>
      <c r="O56" s="148"/>
      <c r="S56" s="87"/>
    </row>
    <row r="57" spans="1:19" s="66" customFormat="1" ht="111" customHeight="1">
      <c r="A57" s="50" t="s">
        <v>88</v>
      </c>
      <c r="B57" s="51" t="s">
        <v>89</v>
      </c>
      <c r="C57" s="52" t="s">
        <v>22</v>
      </c>
      <c r="D57" s="68"/>
      <c r="E57" s="68"/>
      <c r="F57" s="88" t="s">
        <v>90</v>
      </c>
      <c r="G57" s="88">
        <v>38</v>
      </c>
      <c r="H57" s="55">
        <f>11834/30530*100</f>
        <v>38.7618735669833</v>
      </c>
      <c r="I57" s="55">
        <f>14625/I61*100</f>
        <v>46.410891089108915</v>
      </c>
      <c r="J57" s="29">
        <f>J59/J61*100</f>
        <v>48.89411764705882</v>
      </c>
      <c r="K57" s="29">
        <f>K59/K61*100</f>
        <v>41.10060446465976</v>
      </c>
      <c r="L57" s="29">
        <f>L59/L61*100</f>
        <v>41.89359028068706</v>
      </c>
      <c r="M57" s="29">
        <f>M59/M61*100</f>
        <v>43.389789933568736</v>
      </c>
      <c r="N57" s="29">
        <f>N59/N61*100</f>
        <v>43.389789933568736</v>
      </c>
      <c r="O57" s="143" t="s">
        <v>91</v>
      </c>
      <c r="S57" s="67"/>
    </row>
    <row r="58" spans="1:19" s="66" customFormat="1" ht="33.75" customHeight="1" hidden="1">
      <c r="A58" s="50"/>
      <c r="B58" s="51" t="s">
        <v>92</v>
      </c>
      <c r="C58" s="52"/>
      <c r="D58" s="68"/>
      <c r="E58" s="68"/>
      <c r="F58" s="88"/>
      <c r="G58" s="88"/>
      <c r="H58" s="55"/>
      <c r="I58" s="55">
        <f>14625/I62*100</f>
        <v>30.144073211451655</v>
      </c>
      <c r="J58" s="29">
        <f>15585/J62*100</f>
        <v>31.35814889336016</v>
      </c>
      <c r="K58" s="29">
        <f>K59/K62*100</f>
        <v>27.5250501002004</v>
      </c>
      <c r="L58" s="29">
        <f>L59/L62*100</f>
        <v>27.982091461464663</v>
      </c>
      <c r="M58" s="29">
        <f>M59/M62*100</f>
        <v>28.938072524796937</v>
      </c>
      <c r="N58" s="29">
        <f>N59/N62*100</f>
        <v>27.464722038071788</v>
      </c>
      <c r="O58" s="143"/>
      <c r="S58" s="67"/>
    </row>
    <row r="59" spans="1:19" s="66" customFormat="1" ht="31.5" hidden="1">
      <c r="A59" s="50"/>
      <c r="B59" s="62" t="s">
        <v>93</v>
      </c>
      <c r="C59" s="52"/>
      <c r="D59" s="68"/>
      <c r="E59" s="68"/>
      <c r="F59" s="88"/>
      <c r="G59" s="88"/>
      <c r="H59" s="55"/>
      <c r="I59" s="65">
        <v>14625</v>
      </c>
      <c r="J59" s="37">
        <v>15585</v>
      </c>
      <c r="K59" s="37">
        <v>13735</v>
      </c>
      <c r="L59" s="37">
        <v>14000</v>
      </c>
      <c r="M59" s="37">
        <v>14500</v>
      </c>
      <c r="N59" s="37">
        <v>14500</v>
      </c>
      <c r="O59" s="147" t="s">
        <v>94</v>
      </c>
      <c r="S59" s="67"/>
    </row>
    <row r="60" spans="1:19" s="66" customFormat="1" ht="31.5" hidden="1">
      <c r="A60" s="50"/>
      <c r="B60" s="62" t="s">
        <v>95</v>
      </c>
      <c r="C60" s="52"/>
      <c r="D60" s="68"/>
      <c r="E60" s="68"/>
      <c r="F60" s="88"/>
      <c r="G60" s="88"/>
      <c r="H60" s="55"/>
      <c r="I60" s="65">
        <v>7387</v>
      </c>
      <c r="J60" s="37">
        <v>7486</v>
      </c>
      <c r="K60" s="37"/>
      <c r="L60" s="37"/>
      <c r="M60" s="37"/>
      <c r="N60" s="37"/>
      <c r="O60" s="147"/>
      <c r="S60" s="67"/>
    </row>
    <row r="61" spans="1:19" s="86" customFormat="1" ht="15.75" hidden="1">
      <c r="A61" s="89"/>
      <c r="B61" s="62" t="s">
        <v>96</v>
      </c>
      <c r="C61" s="63"/>
      <c r="D61" s="90"/>
      <c r="E61" s="90"/>
      <c r="F61" s="65"/>
      <c r="G61" s="65"/>
      <c r="H61" s="65"/>
      <c r="I61" s="65">
        <v>31512</v>
      </c>
      <c r="J61" s="44">
        <v>31875</v>
      </c>
      <c r="K61" s="44">
        <v>33418</v>
      </c>
      <c r="L61" s="44">
        <v>33418</v>
      </c>
      <c r="M61" s="44">
        <v>33418</v>
      </c>
      <c r="N61" s="44">
        <v>33418</v>
      </c>
      <c r="O61" s="147"/>
      <c r="S61" s="87"/>
    </row>
    <row r="62" spans="1:19" s="86" customFormat="1" ht="15.75" hidden="1">
      <c r="A62" s="80"/>
      <c r="B62" s="81" t="s">
        <v>97</v>
      </c>
      <c r="C62" s="82"/>
      <c r="D62" s="83"/>
      <c r="E62" s="83"/>
      <c r="F62" s="84"/>
      <c r="G62" s="84">
        <v>45769</v>
      </c>
      <c r="H62" s="84">
        <v>47198</v>
      </c>
      <c r="I62" s="84">
        <v>48517</v>
      </c>
      <c r="J62" s="85">
        <v>49700</v>
      </c>
      <c r="K62" s="85">
        <v>49900</v>
      </c>
      <c r="L62" s="85">
        <v>50032</v>
      </c>
      <c r="M62" s="85">
        <v>50107</v>
      </c>
      <c r="N62" s="85">
        <v>52795</v>
      </c>
      <c r="O62" s="148"/>
      <c r="S62" s="87"/>
    </row>
    <row r="63" spans="1:15" ht="23.25" customHeight="1">
      <c r="A63" s="177" t="s">
        <v>98</v>
      </c>
      <c r="B63" s="177"/>
      <c r="C63" s="177"/>
      <c r="D63" s="177"/>
      <c r="E63" s="177"/>
      <c r="F63" s="177"/>
      <c r="G63" s="177"/>
      <c r="H63" s="177"/>
      <c r="I63" s="177"/>
      <c r="J63" s="177"/>
      <c r="K63" s="177"/>
      <c r="L63" s="177"/>
      <c r="M63" s="177"/>
      <c r="N63" s="177"/>
      <c r="O63" s="177"/>
    </row>
    <row r="64" spans="1:15" ht="49.5" customHeight="1">
      <c r="A64" s="25">
        <v>24</v>
      </c>
      <c r="B64" s="26" t="s">
        <v>99</v>
      </c>
      <c r="C64" s="27" t="s">
        <v>100</v>
      </c>
      <c r="D64" s="39">
        <v>25.3</v>
      </c>
      <c r="E64" s="28">
        <f>8241.4/318.136</f>
        <v>25.905273216486027</v>
      </c>
      <c r="F64" s="29">
        <f>8441.6/317.606</f>
        <v>26.578842968961546</v>
      </c>
      <c r="G64" s="29">
        <f>(8658.8+60)/G86</f>
        <v>27.284618995462367</v>
      </c>
      <c r="H64" s="29">
        <f>8880/H86</f>
        <v>27.780297887383426</v>
      </c>
      <c r="I64" s="29">
        <f>9080.3/I86</f>
        <v>28.497676009703955</v>
      </c>
      <c r="J64" s="29">
        <f>9175.5/J86</f>
        <v>29.10011797987999</v>
      </c>
      <c r="K64" s="29">
        <v>29.8</v>
      </c>
      <c r="L64" s="29">
        <v>30.2</v>
      </c>
      <c r="M64" s="29">
        <v>30.5</v>
      </c>
      <c r="N64" s="29">
        <v>31.1</v>
      </c>
      <c r="O64" s="149" t="s">
        <v>101</v>
      </c>
    </row>
    <row r="65" spans="1:15" ht="19.5" customHeight="1">
      <c r="A65" s="25"/>
      <c r="B65" s="26" t="s">
        <v>102</v>
      </c>
      <c r="C65" s="27" t="s">
        <v>100</v>
      </c>
      <c r="D65" s="91">
        <v>0.6</v>
      </c>
      <c r="E65" s="91">
        <v>0.66</v>
      </c>
      <c r="F65" s="73">
        <f>238.971/F87</f>
        <v>0.7524133675056517</v>
      </c>
      <c r="G65" s="73">
        <v>0.81</v>
      </c>
      <c r="H65" s="73">
        <v>0.81</v>
      </c>
      <c r="I65" s="73">
        <v>0.65</v>
      </c>
      <c r="J65" s="73">
        <f>112/J87</f>
        <v>0.3533451851197509</v>
      </c>
      <c r="K65" s="73">
        <v>0.28</v>
      </c>
      <c r="L65" s="73">
        <v>0.3</v>
      </c>
      <c r="M65" s="73">
        <v>0.23</v>
      </c>
      <c r="N65" s="73">
        <v>0.45</v>
      </c>
      <c r="O65" s="150"/>
    </row>
    <row r="66" spans="1:19" ht="86.25" customHeight="1">
      <c r="A66" s="25">
        <v>25</v>
      </c>
      <c r="B66" s="26" t="s">
        <v>103</v>
      </c>
      <c r="C66" s="27" t="s">
        <v>104</v>
      </c>
      <c r="D66" s="92">
        <f>107.4443/D87*10</f>
        <v>3.3776894058472173</v>
      </c>
      <c r="E66" s="92">
        <f>34.8436/E87*10</f>
        <v>1.0935202126557808</v>
      </c>
      <c r="F66" s="93">
        <f>48.514022/F87*10</f>
        <v>1.5274907275051477</v>
      </c>
      <c r="G66" s="93">
        <f>69.28778/G87*10</f>
        <v>2.1767185129102486</v>
      </c>
      <c r="H66" s="93">
        <f>4.2915/H87*10</f>
        <v>0.13427680138672907</v>
      </c>
      <c r="I66" s="93">
        <f>1.3478/I87*10</f>
        <v>0.04223198450846333</v>
      </c>
      <c r="J66" s="93">
        <f>3.2199/J87*10</f>
        <v>0.1015835858542041</v>
      </c>
      <c r="K66" s="93">
        <f>0.9253/K87*10</f>
        <v>0.029518258700277862</v>
      </c>
      <c r="L66" s="37">
        <v>0</v>
      </c>
      <c r="M66" s="94">
        <v>0</v>
      </c>
      <c r="N66" s="94">
        <v>0</v>
      </c>
      <c r="O66" s="142" t="s">
        <v>105</v>
      </c>
      <c r="S66" s="95"/>
    </row>
    <row r="67" spans="1:15" ht="19.5" customHeight="1">
      <c r="A67" s="25"/>
      <c r="B67" s="26" t="s">
        <v>106</v>
      </c>
      <c r="C67" s="27"/>
      <c r="D67" s="96"/>
      <c r="E67" s="96"/>
      <c r="F67" s="97"/>
      <c r="G67" s="98"/>
      <c r="H67" s="98"/>
      <c r="I67" s="98"/>
      <c r="J67" s="98"/>
      <c r="K67" s="98"/>
      <c r="L67" s="98"/>
      <c r="M67" s="99"/>
      <c r="N67" s="99"/>
      <c r="O67" s="179" t="s">
        <v>107</v>
      </c>
    </row>
    <row r="68" spans="1:15" ht="84" customHeight="1">
      <c r="A68" s="25"/>
      <c r="B68" s="26" t="s">
        <v>108</v>
      </c>
      <c r="C68" s="27" t="s">
        <v>104</v>
      </c>
      <c r="D68" s="92">
        <f>61.1/D87*10</f>
        <v>1.9207796290474692</v>
      </c>
      <c r="E68" s="92">
        <f>(5.8448+4.9008)/E87*10</f>
        <v>0.3372364163609374</v>
      </c>
      <c r="F68" s="93">
        <f>(3.0278+13.9293+6.66)/F87*10</f>
        <v>0.7435974131471068</v>
      </c>
      <c r="G68" s="93">
        <f>(0.91+0.8456+53.5564)/G87*10</f>
        <v>1.7376607301618219</v>
      </c>
      <c r="H68" s="93">
        <f>(1.301+0.2838+0)/H87*10</f>
        <v>0.0495868285768818</v>
      </c>
      <c r="I68" s="93">
        <f>(0.166+1.1818+0)/I87*10</f>
        <v>0.04223198450846331</v>
      </c>
      <c r="J68" s="93">
        <f>(0.8625+0.6424+0)/J87*10</f>
        <v>0.04747760438274225</v>
      </c>
      <c r="K68" s="93">
        <f>0.2603/K87*10</f>
        <v>0.008303904398230116</v>
      </c>
      <c r="L68" s="37">
        <v>0</v>
      </c>
      <c r="M68" s="94">
        <v>0</v>
      </c>
      <c r="N68" s="94">
        <v>0</v>
      </c>
      <c r="O68" s="179"/>
    </row>
    <row r="69" spans="1:15" ht="131.25" customHeight="1">
      <c r="A69" s="25">
        <v>26</v>
      </c>
      <c r="B69" s="26" t="s">
        <v>109</v>
      </c>
      <c r="C69" s="27"/>
      <c r="D69" s="41"/>
      <c r="E69" s="41"/>
      <c r="F69" s="42"/>
      <c r="G69" s="42"/>
      <c r="H69" s="42"/>
      <c r="I69" s="42"/>
      <c r="J69" s="42"/>
      <c r="K69" s="42"/>
      <c r="L69" s="42"/>
      <c r="M69" s="42"/>
      <c r="N69" s="42"/>
      <c r="O69" s="180"/>
    </row>
    <row r="70" spans="1:15" ht="36" customHeight="1">
      <c r="A70" s="25"/>
      <c r="B70" s="26" t="s">
        <v>110</v>
      </c>
      <c r="C70" s="27" t="s">
        <v>111</v>
      </c>
      <c r="D70" s="39">
        <v>7817</v>
      </c>
      <c r="E70" s="39">
        <v>127000</v>
      </c>
      <c r="F70" s="40">
        <v>107500</v>
      </c>
      <c r="G70" s="40">
        <v>112000</v>
      </c>
      <c r="H70" s="100">
        <v>17108</v>
      </c>
      <c r="I70" s="100">
        <v>17108</v>
      </c>
      <c r="J70" s="100">
        <f>8000+14016+6278</f>
        <v>28294</v>
      </c>
      <c r="K70" s="100">
        <v>22016</v>
      </c>
      <c r="L70" s="100" t="s">
        <v>112</v>
      </c>
      <c r="M70" s="100" t="s">
        <v>112</v>
      </c>
      <c r="N70" s="100" t="s">
        <v>112</v>
      </c>
      <c r="O70" s="180"/>
    </row>
    <row r="71" spans="1:15" ht="34.5" customHeight="1">
      <c r="A71" s="25"/>
      <c r="B71" s="26" t="s">
        <v>113</v>
      </c>
      <c r="C71" s="27" t="s">
        <v>111</v>
      </c>
      <c r="D71" s="39">
        <v>53470</v>
      </c>
      <c r="E71" s="39">
        <v>58000</v>
      </c>
      <c r="F71" s="40">
        <v>41200</v>
      </c>
      <c r="G71" s="40">
        <v>58000</v>
      </c>
      <c r="H71" s="100">
        <f>44549-H70</f>
        <v>27441</v>
      </c>
      <c r="I71" s="100">
        <f>44549-I70</f>
        <v>27441</v>
      </c>
      <c r="J71" s="100">
        <f>14237+2503+3181+174+2792+4612+1960+2096</f>
        <v>31555</v>
      </c>
      <c r="K71" s="100">
        <v>35960</v>
      </c>
      <c r="L71" s="100" t="s">
        <v>112</v>
      </c>
      <c r="M71" s="100" t="s">
        <v>112</v>
      </c>
      <c r="N71" s="100" t="s">
        <v>112</v>
      </c>
      <c r="O71" s="180"/>
    </row>
    <row r="72" spans="1:15" ht="24" customHeight="1">
      <c r="A72" s="177" t="s">
        <v>114</v>
      </c>
      <c r="B72" s="177"/>
      <c r="C72" s="177"/>
      <c r="D72" s="177"/>
      <c r="E72" s="177"/>
      <c r="F72" s="177"/>
      <c r="G72" s="177"/>
      <c r="H72" s="177"/>
      <c r="I72" s="177"/>
      <c r="J72" s="177"/>
      <c r="K72" s="177"/>
      <c r="L72" s="177"/>
      <c r="M72" s="177"/>
      <c r="N72" s="177"/>
      <c r="O72" s="177"/>
    </row>
    <row r="73" spans="1:15" ht="187.5" customHeight="1">
      <c r="A73" s="25">
        <v>27</v>
      </c>
      <c r="B73" s="26" t="s">
        <v>115</v>
      </c>
      <c r="C73" s="27" t="s">
        <v>36</v>
      </c>
      <c r="D73" s="39">
        <v>100</v>
      </c>
      <c r="E73" s="39">
        <v>100</v>
      </c>
      <c r="F73" s="40">
        <v>100</v>
      </c>
      <c r="G73" s="40">
        <v>99.6</v>
      </c>
      <c r="H73" s="40">
        <v>97</v>
      </c>
      <c r="I73" s="29">
        <v>96.01</v>
      </c>
      <c r="J73" s="29">
        <f>(1904-75-6)/1904*100</f>
        <v>95.74579831932773</v>
      </c>
      <c r="K73" s="40">
        <v>95.1</v>
      </c>
      <c r="L73" s="40">
        <v>100</v>
      </c>
      <c r="M73" s="40">
        <v>100</v>
      </c>
      <c r="N73" s="40">
        <v>100</v>
      </c>
      <c r="O73" s="143" t="s">
        <v>116</v>
      </c>
    </row>
    <row r="74" spans="1:15" ht="342" customHeight="1">
      <c r="A74" s="25">
        <v>28</v>
      </c>
      <c r="B74" s="26" t="s">
        <v>117</v>
      </c>
      <c r="C74" s="27" t="s">
        <v>22</v>
      </c>
      <c r="D74" s="39">
        <v>85</v>
      </c>
      <c r="E74" s="39">
        <v>86.4</v>
      </c>
      <c r="F74" s="40">
        <v>90.5</v>
      </c>
      <c r="G74" s="29">
        <v>92</v>
      </c>
      <c r="H74" s="29">
        <v>94.7</v>
      </c>
      <c r="I74" s="29">
        <v>94.3</v>
      </c>
      <c r="J74" s="29">
        <v>94.7</v>
      </c>
      <c r="K74" s="29">
        <v>94</v>
      </c>
      <c r="L74" s="29">
        <v>94</v>
      </c>
      <c r="M74" s="29">
        <v>94</v>
      </c>
      <c r="N74" s="29">
        <v>94</v>
      </c>
      <c r="O74" s="143" t="s">
        <v>118</v>
      </c>
    </row>
    <row r="75" spans="1:15" ht="87.75" customHeight="1">
      <c r="A75" s="25">
        <v>29</v>
      </c>
      <c r="B75" s="26" t="s">
        <v>119</v>
      </c>
      <c r="C75" s="27" t="s">
        <v>36</v>
      </c>
      <c r="D75" s="39">
        <v>100</v>
      </c>
      <c r="E75" s="39">
        <v>100</v>
      </c>
      <c r="F75" s="40">
        <v>100</v>
      </c>
      <c r="G75" s="40">
        <v>100</v>
      </c>
      <c r="H75" s="40">
        <v>100</v>
      </c>
      <c r="I75" s="40">
        <v>100</v>
      </c>
      <c r="J75" s="40">
        <v>100</v>
      </c>
      <c r="K75" s="40">
        <v>100</v>
      </c>
      <c r="L75" s="40">
        <v>100</v>
      </c>
      <c r="M75" s="40">
        <v>100</v>
      </c>
      <c r="N75" s="40">
        <v>100</v>
      </c>
      <c r="O75" s="143" t="s">
        <v>120</v>
      </c>
    </row>
    <row r="76" spans="1:15" ht="240" customHeight="1">
      <c r="A76" s="25">
        <v>30</v>
      </c>
      <c r="B76" s="26" t="s">
        <v>121</v>
      </c>
      <c r="C76" s="27" t="s">
        <v>36</v>
      </c>
      <c r="D76" s="28">
        <f>354/5966*100</f>
        <v>5.933623868588669</v>
      </c>
      <c r="E76" s="28">
        <f>372/5791*100</f>
        <v>6.423761008461406</v>
      </c>
      <c r="F76" s="29">
        <v>7.1</v>
      </c>
      <c r="G76" s="29">
        <f>357/4945*100</f>
        <v>7.219413549039435</v>
      </c>
      <c r="H76" s="29">
        <f>310/5028*100</f>
        <v>6.165473349244232</v>
      </c>
      <c r="I76" s="29">
        <f>325/5147*100</f>
        <v>6.314357878375752</v>
      </c>
      <c r="J76" s="29">
        <f>147/4582*100</f>
        <v>3.2082060235704932</v>
      </c>
      <c r="K76" s="40">
        <f>99/4500*100</f>
        <v>2.1999999999999997</v>
      </c>
      <c r="L76" s="29">
        <v>3</v>
      </c>
      <c r="M76" s="29">
        <v>3.5</v>
      </c>
      <c r="N76" s="29">
        <v>3.5</v>
      </c>
      <c r="O76" s="143" t="s">
        <v>182</v>
      </c>
    </row>
    <row r="77" spans="1:15" ht="33" customHeight="1">
      <c r="A77" s="177" t="s">
        <v>122</v>
      </c>
      <c r="B77" s="177"/>
      <c r="C77" s="177"/>
      <c r="D77" s="177"/>
      <c r="E77" s="177"/>
      <c r="F77" s="177"/>
      <c r="G77" s="177"/>
      <c r="H77" s="177"/>
      <c r="I77" s="177"/>
      <c r="J77" s="177"/>
      <c r="K77" s="177"/>
      <c r="L77" s="177"/>
      <c r="M77" s="177"/>
      <c r="N77" s="177"/>
      <c r="O77" s="177"/>
    </row>
    <row r="78" spans="1:15" ht="213.75" customHeight="1">
      <c r="A78" s="25">
        <v>31</v>
      </c>
      <c r="B78" s="26" t="s">
        <v>123</v>
      </c>
      <c r="C78" s="27" t="s">
        <v>36</v>
      </c>
      <c r="D78" s="39">
        <v>72.1</v>
      </c>
      <c r="E78" s="28">
        <v>64.2</v>
      </c>
      <c r="F78" s="29">
        <v>65.1</v>
      </c>
      <c r="G78" s="29">
        <f>(2328663.1)/(4002424.7)*100</f>
        <v>58.18130944474733</v>
      </c>
      <c r="H78" s="29">
        <v>59.9</v>
      </c>
      <c r="I78" s="29">
        <v>57.2</v>
      </c>
      <c r="J78" s="29">
        <v>74.9</v>
      </c>
      <c r="K78" s="29">
        <v>59.5</v>
      </c>
      <c r="L78" s="29">
        <v>63.8</v>
      </c>
      <c r="M78" s="29">
        <v>97.9</v>
      </c>
      <c r="N78" s="29">
        <v>98.2</v>
      </c>
      <c r="O78" s="143" t="s">
        <v>124</v>
      </c>
    </row>
    <row r="79" spans="1:15" ht="121.5" customHeight="1">
      <c r="A79" s="25">
        <v>32</v>
      </c>
      <c r="B79" s="26" t="s">
        <v>125</v>
      </c>
      <c r="C79" s="27" t="s">
        <v>36</v>
      </c>
      <c r="D79" s="91">
        <v>0.34</v>
      </c>
      <c r="E79" s="91">
        <v>0.33</v>
      </c>
      <c r="F79" s="73">
        <v>0.29</v>
      </c>
      <c r="G79" s="73">
        <v>0.24</v>
      </c>
      <c r="H79" s="73">
        <f>27012.9/15390252*100</f>
        <v>0.1755195431497808</v>
      </c>
      <c r="I79" s="73">
        <f>8396.9/15756491*100</f>
        <v>0.0532916878510577</v>
      </c>
      <c r="J79" s="73">
        <f>30935/18892598*100</f>
        <v>0.16374137638455016</v>
      </c>
      <c r="K79" s="73">
        <v>0.14</v>
      </c>
      <c r="L79" s="73">
        <v>0.14</v>
      </c>
      <c r="M79" s="73">
        <v>0.14</v>
      </c>
      <c r="N79" s="73">
        <v>0.1</v>
      </c>
      <c r="O79" s="143" t="s">
        <v>126</v>
      </c>
    </row>
    <row r="80" spans="1:15" ht="88.5" customHeight="1">
      <c r="A80" s="25">
        <v>33</v>
      </c>
      <c r="B80" s="26" t="s">
        <v>127</v>
      </c>
      <c r="C80" s="27" t="s">
        <v>128</v>
      </c>
      <c r="D80" s="91">
        <v>0</v>
      </c>
      <c r="E80" s="91">
        <v>0</v>
      </c>
      <c r="F80" s="73">
        <v>0</v>
      </c>
      <c r="G80" s="37">
        <v>0</v>
      </c>
      <c r="H80" s="37">
        <v>0</v>
      </c>
      <c r="I80" s="37">
        <v>0</v>
      </c>
      <c r="J80" s="37">
        <v>0</v>
      </c>
      <c r="K80" s="37">
        <v>0</v>
      </c>
      <c r="L80" s="37">
        <v>0</v>
      </c>
      <c r="M80" s="37">
        <v>0</v>
      </c>
      <c r="N80" s="37">
        <v>0</v>
      </c>
      <c r="O80" s="143"/>
    </row>
    <row r="81" spans="1:15" ht="123" customHeight="1">
      <c r="A81" s="25">
        <v>34</v>
      </c>
      <c r="B81" s="26" t="s">
        <v>129</v>
      </c>
      <c r="C81" s="27" t="s">
        <v>36</v>
      </c>
      <c r="D81" s="28">
        <v>0</v>
      </c>
      <c r="E81" s="28">
        <v>0</v>
      </c>
      <c r="F81" s="29">
        <v>0</v>
      </c>
      <c r="G81" s="29">
        <v>0.3</v>
      </c>
      <c r="H81" s="29">
        <v>0.5</v>
      </c>
      <c r="I81" s="29">
        <v>3.9</v>
      </c>
      <c r="J81" s="29">
        <v>3.4</v>
      </c>
      <c r="K81" s="29">
        <v>1.1</v>
      </c>
      <c r="L81" s="29">
        <v>0</v>
      </c>
      <c r="M81" s="29">
        <v>0</v>
      </c>
      <c r="N81" s="29"/>
      <c r="O81" s="143" t="s">
        <v>130</v>
      </c>
    </row>
    <row r="82" spans="1:15" ht="135" customHeight="1">
      <c r="A82" s="25">
        <v>35</v>
      </c>
      <c r="B82" s="26" t="s">
        <v>131</v>
      </c>
      <c r="C82" s="27" t="s">
        <v>28</v>
      </c>
      <c r="D82" s="28">
        <f>313083.8/D87</f>
        <v>984.2307450487267</v>
      </c>
      <c r="E82" s="28">
        <f>312101.6/E87</f>
        <v>979.4895131450521</v>
      </c>
      <c r="F82" s="29">
        <f>343255/F87</f>
        <v>1080.757290479399</v>
      </c>
      <c r="G82" s="29">
        <f>332051.2/G87</f>
        <v>1043.1594059934719</v>
      </c>
      <c r="H82" s="29">
        <v>1057.5</v>
      </c>
      <c r="I82" s="29">
        <f>292766.3/I87</f>
        <v>917.354343834406</v>
      </c>
      <c r="J82" s="29">
        <f>310390.5/J87</f>
        <v>979.2409703742146</v>
      </c>
      <c r="K82" s="29">
        <f>294848.1/K87</f>
        <v>940.6033170955794</v>
      </c>
      <c r="L82" s="29">
        <f>222366.1/L87</f>
        <v>714.8633226280376</v>
      </c>
      <c r="M82" s="29">
        <f>197392/M87</f>
        <v>637.1656278143429</v>
      </c>
      <c r="N82" s="29">
        <f>211288.8/N87</f>
        <v>685.0906261145876</v>
      </c>
      <c r="O82" s="143" t="s">
        <v>166</v>
      </c>
    </row>
    <row r="83" spans="1:15" ht="105.75" customHeight="1">
      <c r="A83" s="25">
        <v>36</v>
      </c>
      <c r="B83" s="26" t="s">
        <v>132</v>
      </c>
      <c r="C83" s="27" t="s">
        <v>133</v>
      </c>
      <c r="D83" s="101" t="s">
        <v>134</v>
      </c>
      <c r="E83" s="101" t="s">
        <v>134</v>
      </c>
      <c r="F83" s="101" t="s">
        <v>134</v>
      </c>
      <c r="G83" s="101" t="s">
        <v>134</v>
      </c>
      <c r="H83" s="101" t="s">
        <v>134</v>
      </c>
      <c r="I83" s="101" t="s">
        <v>134</v>
      </c>
      <c r="J83" s="101" t="s">
        <v>134</v>
      </c>
      <c r="K83" s="101" t="s">
        <v>134</v>
      </c>
      <c r="L83" s="101" t="s">
        <v>134</v>
      </c>
      <c r="M83" s="101" t="s">
        <v>134</v>
      </c>
      <c r="N83" s="101" t="s">
        <v>134</v>
      </c>
      <c r="O83" s="143" t="s">
        <v>135</v>
      </c>
    </row>
    <row r="84" spans="1:15" ht="72.75" customHeight="1">
      <c r="A84" s="25">
        <v>37</v>
      </c>
      <c r="B84" s="26" t="s">
        <v>136</v>
      </c>
      <c r="C84" s="27" t="s">
        <v>137</v>
      </c>
      <c r="D84" s="39">
        <v>34.9</v>
      </c>
      <c r="E84" s="28">
        <v>37.7</v>
      </c>
      <c r="F84" s="40">
        <v>23.6</v>
      </c>
      <c r="G84" s="40">
        <v>40.8</v>
      </c>
      <c r="H84" s="40">
        <v>36.9</v>
      </c>
      <c r="I84" s="40">
        <v>36.3</v>
      </c>
      <c r="J84" s="40"/>
      <c r="K84" s="29">
        <v>36</v>
      </c>
      <c r="L84" s="40"/>
      <c r="M84" s="40"/>
      <c r="N84" s="40"/>
      <c r="O84" s="143" t="s">
        <v>174</v>
      </c>
    </row>
    <row r="85" spans="1:15" ht="15.75" hidden="1">
      <c r="A85" s="77"/>
      <c r="B85" s="31" t="s">
        <v>138</v>
      </c>
      <c r="C85" s="32"/>
      <c r="D85" s="102"/>
      <c r="E85" s="102"/>
      <c r="F85" s="103"/>
      <c r="G85" s="31"/>
      <c r="H85" s="31"/>
      <c r="I85" s="31">
        <v>319.651</v>
      </c>
      <c r="J85" s="43">
        <f>I86</f>
        <v>318.633</v>
      </c>
      <c r="K85" s="43">
        <f>J86</f>
        <v>315.308</v>
      </c>
      <c r="L85" s="43">
        <v>311.625</v>
      </c>
      <c r="M85" s="43">
        <f>L86</f>
        <v>310.496</v>
      </c>
      <c r="N85" s="43">
        <f>M86</f>
        <v>309.087</v>
      </c>
      <c r="O85" s="151"/>
    </row>
    <row r="86" spans="1:19" s="105" customFormat="1" ht="15.75" hidden="1">
      <c r="A86" s="104"/>
      <c r="B86" s="31" t="s">
        <v>139</v>
      </c>
      <c r="C86" s="32"/>
      <c r="D86" s="102"/>
      <c r="E86" s="102"/>
      <c r="F86" s="103"/>
      <c r="G86" s="31">
        <v>319.55</v>
      </c>
      <c r="H86" s="31">
        <v>319.651</v>
      </c>
      <c r="I86" s="31">
        <v>318.633</v>
      </c>
      <c r="J86" s="43">
        <v>315.308</v>
      </c>
      <c r="K86" s="43">
        <v>311.625</v>
      </c>
      <c r="L86" s="43">
        <v>310.496</v>
      </c>
      <c r="M86" s="43">
        <v>309.087</v>
      </c>
      <c r="N86" s="43">
        <v>307.723</v>
      </c>
      <c r="O86" s="152"/>
      <c r="S86" s="106"/>
    </row>
    <row r="87" spans="1:15" ht="60.75" customHeight="1">
      <c r="A87" s="25">
        <v>38</v>
      </c>
      <c r="B87" s="26" t="s">
        <v>140</v>
      </c>
      <c r="C87" s="27" t="s">
        <v>141</v>
      </c>
      <c r="D87" s="39">
        <v>318.1</v>
      </c>
      <c r="E87" s="92">
        <v>318.637</v>
      </c>
      <c r="F87" s="93">
        <v>317.606</v>
      </c>
      <c r="G87" s="93">
        <v>318.313</v>
      </c>
      <c r="H87" s="93">
        <v>319.601</v>
      </c>
      <c r="I87" s="93">
        <f>(I85+I86)/2</f>
        <v>319.142</v>
      </c>
      <c r="J87" s="93">
        <f>(J85+J86)/2</f>
        <v>316.9705</v>
      </c>
      <c r="K87" s="93">
        <v>313.467</v>
      </c>
      <c r="L87" s="93">
        <v>311.061</v>
      </c>
      <c r="M87" s="93">
        <v>309.797</v>
      </c>
      <c r="N87" s="93">
        <v>308.41</v>
      </c>
      <c r="O87" s="143" t="s">
        <v>142</v>
      </c>
    </row>
    <row r="88" spans="1:15" ht="31.5" customHeight="1">
      <c r="A88" s="177" t="s">
        <v>143</v>
      </c>
      <c r="B88" s="177"/>
      <c r="C88" s="177"/>
      <c r="D88" s="177"/>
      <c r="E88" s="177"/>
      <c r="F88" s="177"/>
      <c r="G88" s="177"/>
      <c r="H88" s="177"/>
      <c r="I88" s="177"/>
      <c r="J88" s="177"/>
      <c r="K88" s="177"/>
      <c r="L88" s="177"/>
      <c r="M88" s="177"/>
      <c r="N88" s="177"/>
      <c r="O88" s="177"/>
    </row>
    <row r="89" spans="1:15" ht="54" customHeight="1">
      <c r="A89" s="25">
        <v>39</v>
      </c>
      <c r="B89" s="26" t="s">
        <v>144</v>
      </c>
      <c r="C89" s="27"/>
      <c r="D89" s="96"/>
      <c r="E89" s="96"/>
      <c r="F89" s="97"/>
      <c r="G89" s="97"/>
      <c r="H89" s="97"/>
      <c r="I89" s="97"/>
      <c r="J89" s="97"/>
      <c r="K89" s="97"/>
      <c r="L89" s="97"/>
      <c r="M89" s="97"/>
      <c r="N89" s="97"/>
      <c r="O89" s="181" t="s">
        <v>145</v>
      </c>
    </row>
    <row r="90" spans="1:15" ht="30" customHeight="1">
      <c r="A90" s="25"/>
      <c r="B90" s="26" t="s">
        <v>146</v>
      </c>
      <c r="C90" s="27" t="s">
        <v>147</v>
      </c>
      <c r="D90" s="28">
        <v>664.93</v>
      </c>
      <c r="E90" s="28">
        <v>661.6</v>
      </c>
      <c r="F90" s="29">
        <v>658.4</v>
      </c>
      <c r="G90" s="29">
        <v>638.6</v>
      </c>
      <c r="H90" s="29">
        <v>637.9</v>
      </c>
      <c r="I90" s="29">
        <v>637.3</v>
      </c>
      <c r="J90" s="29">
        <v>629.8</v>
      </c>
      <c r="K90" s="29">
        <v>628.9</v>
      </c>
      <c r="L90" s="29">
        <f>K90*0.999</f>
        <v>628.2710999999999</v>
      </c>
      <c r="M90" s="29">
        <f>L90*0.999</f>
        <v>627.6428288999999</v>
      </c>
      <c r="N90" s="29">
        <f>M90*0.999</f>
        <v>627.0151860711</v>
      </c>
      <c r="O90" s="181"/>
    </row>
    <row r="91" spans="1:15" ht="36" customHeight="1">
      <c r="A91" s="25"/>
      <c r="B91" s="26" t="s">
        <v>148</v>
      </c>
      <c r="C91" s="27" t="s">
        <v>149</v>
      </c>
      <c r="D91" s="91">
        <v>0.2</v>
      </c>
      <c r="E91" s="39">
        <v>0.19</v>
      </c>
      <c r="F91" s="40">
        <v>0.17</v>
      </c>
      <c r="G91" s="40">
        <v>0.16</v>
      </c>
      <c r="H91" s="40">
        <v>0.157</v>
      </c>
      <c r="I91" s="40">
        <v>0.155</v>
      </c>
      <c r="J91" s="40">
        <v>0.15</v>
      </c>
      <c r="K91" s="73">
        <v>0.138</v>
      </c>
      <c r="L91" s="73">
        <f aca="true" t="shared" si="3" ref="L91:N92">K91*0.991</f>
        <v>0.13675800000000002</v>
      </c>
      <c r="M91" s="73">
        <f t="shared" si="3"/>
        <v>0.13552717800000003</v>
      </c>
      <c r="N91" s="73">
        <f t="shared" si="3"/>
        <v>0.13430743339800003</v>
      </c>
      <c r="O91" s="181"/>
    </row>
    <row r="92" spans="1:15" ht="30" customHeight="1">
      <c r="A92" s="25"/>
      <c r="B92" s="26" t="s">
        <v>150</v>
      </c>
      <c r="C92" s="27" t="s">
        <v>151</v>
      </c>
      <c r="D92" s="28">
        <v>21.1</v>
      </c>
      <c r="E92" s="28">
        <v>21.1</v>
      </c>
      <c r="F92" s="29">
        <v>20.3</v>
      </c>
      <c r="G92" s="29">
        <v>19.7</v>
      </c>
      <c r="H92" s="73">
        <v>18.12</v>
      </c>
      <c r="I92" s="29">
        <v>17.5</v>
      </c>
      <c r="J92" s="73">
        <v>17.62</v>
      </c>
      <c r="K92" s="29">
        <v>17.4</v>
      </c>
      <c r="L92" s="29">
        <f t="shared" si="3"/>
        <v>17.243399999999998</v>
      </c>
      <c r="M92" s="29">
        <f t="shared" si="3"/>
        <v>17.088209399999997</v>
      </c>
      <c r="N92" s="29">
        <f t="shared" si="3"/>
        <v>16.934415515399998</v>
      </c>
      <c r="O92" s="181"/>
    </row>
    <row r="93" spans="1:15" ht="29.25" customHeight="1">
      <c r="A93" s="25"/>
      <c r="B93" s="26" t="s">
        <v>152</v>
      </c>
      <c r="C93" s="27" t="s">
        <v>151</v>
      </c>
      <c r="D93" s="28">
        <v>83.59</v>
      </c>
      <c r="E93" s="28">
        <v>80.3</v>
      </c>
      <c r="F93" s="29">
        <v>75.3</v>
      </c>
      <c r="G93" s="29">
        <v>74.9</v>
      </c>
      <c r="H93" s="29">
        <v>69.97</v>
      </c>
      <c r="I93" s="29">
        <v>69.1</v>
      </c>
      <c r="J93" s="29">
        <v>68.9</v>
      </c>
      <c r="K93" s="29">
        <v>68.2</v>
      </c>
      <c r="L93" s="29">
        <f aca="true" t="shared" si="4" ref="L93:N94">K93*0.999</f>
        <v>68.1318</v>
      </c>
      <c r="M93" s="29">
        <f t="shared" si="4"/>
        <v>68.0636682</v>
      </c>
      <c r="N93" s="29">
        <f t="shared" si="4"/>
        <v>67.9956045318</v>
      </c>
      <c r="O93" s="181"/>
    </row>
    <row r="94" spans="1:15" ht="30" customHeight="1">
      <c r="A94" s="110"/>
      <c r="B94" s="111" t="s">
        <v>153</v>
      </c>
      <c r="C94" s="112" t="s">
        <v>151</v>
      </c>
      <c r="D94" s="129">
        <v>439.14</v>
      </c>
      <c r="E94" s="129">
        <v>432.3</v>
      </c>
      <c r="F94" s="130">
        <v>425</v>
      </c>
      <c r="G94" s="130">
        <v>416.9</v>
      </c>
      <c r="H94" s="130">
        <v>416.2</v>
      </c>
      <c r="I94" s="130">
        <v>412.5</v>
      </c>
      <c r="J94" s="130">
        <v>412</v>
      </c>
      <c r="K94" s="130">
        <v>408.1</v>
      </c>
      <c r="L94" s="130">
        <f t="shared" si="4"/>
        <v>407.69190000000003</v>
      </c>
      <c r="M94" s="130">
        <f t="shared" si="4"/>
        <v>407.28420810000006</v>
      </c>
      <c r="N94" s="130">
        <f t="shared" si="4"/>
        <v>406.87692389190005</v>
      </c>
      <c r="O94" s="153"/>
    </row>
    <row r="95" spans="1:15" ht="71.25" customHeight="1">
      <c r="A95" s="131">
        <v>40</v>
      </c>
      <c r="B95" s="132" t="s">
        <v>154</v>
      </c>
      <c r="C95" s="133"/>
      <c r="D95" s="134"/>
      <c r="E95" s="134"/>
      <c r="F95" s="135"/>
      <c r="G95" s="135"/>
      <c r="H95" s="135"/>
      <c r="I95" s="135"/>
      <c r="J95" s="135"/>
      <c r="K95" s="135"/>
      <c r="L95" s="135"/>
      <c r="M95" s="135"/>
      <c r="N95" s="135"/>
      <c r="O95" s="182" t="s">
        <v>155</v>
      </c>
    </row>
    <row r="96" spans="1:15" ht="41.25" customHeight="1">
      <c r="A96" s="136"/>
      <c r="B96" s="26" t="s">
        <v>156</v>
      </c>
      <c r="C96" s="27" t="s">
        <v>157</v>
      </c>
      <c r="D96" s="92">
        <v>30.206</v>
      </c>
      <c r="E96" s="92">
        <v>33.841</v>
      </c>
      <c r="F96" s="93">
        <v>33.116</v>
      </c>
      <c r="G96" s="93">
        <v>36.37</v>
      </c>
      <c r="H96" s="93">
        <v>36.769</v>
      </c>
      <c r="I96" s="93">
        <v>36.98</v>
      </c>
      <c r="J96" s="93">
        <v>36.1390631950557</v>
      </c>
      <c r="K96" s="93">
        <v>34.98524916498388</v>
      </c>
      <c r="L96" s="93">
        <v>36.120729374624275</v>
      </c>
      <c r="M96" s="93">
        <v>36.2681052431108</v>
      </c>
      <c r="N96" s="93">
        <v>36.431212347200145</v>
      </c>
      <c r="O96" s="183"/>
    </row>
    <row r="97" spans="1:15" ht="33.75" customHeight="1">
      <c r="A97" s="136"/>
      <c r="B97" s="26" t="s">
        <v>158</v>
      </c>
      <c r="C97" s="27" t="s">
        <v>159</v>
      </c>
      <c r="D97" s="92">
        <v>0.185</v>
      </c>
      <c r="E97" s="92">
        <v>0.173</v>
      </c>
      <c r="F97" s="93">
        <v>0.129</v>
      </c>
      <c r="G97" s="93">
        <v>0.203</v>
      </c>
      <c r="H97" s="93">
        <v>0.199</v>
      </c>
      <c r="I97" s="93">
        <v>0.182</v>
      </c>
      <c r="J97" s="93">
        <v>0.13047734736557343</v>
      </c>
      <c r="K97" s="93">
        <v>0.13173203092620336</v>
      </c>
      <c r="L97" s="93">
        <v>0.13234547338772196</v>
      </c>
      <c r="M97" s="93">
        <v>0.13116539620215367</v>
      </c>
      <c r="N97" s="93">
        <v>0.13116539620215367</v>
      </c>
      <c r="O97" s="183"/>
    </row>
    <row r="98" spans="1:15" ht="39.75" customHeight="1">
      <c r="A98" s="136"/>
      <c r="B98" s="26" t="s">
        <v>160</v>
      </c>
      <c r="C98" s="27" t="s">
        <v>161</v>
      </c>
      <c r="D98" s="92">
        <v>0.189</v>
      </c>
      <c r="E98" s="92">
        <v>0.195</v>
      </c>
      <c r="F98" s="93">
        <v>0.194</v>
      </c>
      <c r="G98" s="93">
        <v>0.299</v>
      </c>
      <c r="H98" s="93">
        <v>0.31</v>
      </c>
      <c r="I98" s="93">
        <v>0.304</v>
      </c>
      <c r="J98" s="93">
        <v>0.2728912108678712</v>
      </c>
      <c r="K98" s="93">
        <v>0.7801235855767913</v>
      </c>
      <c r="L98" s="93">
        <v>0.8409283066665381</v>
      </c>
      <c r="M98" s="93">
        <v>0.8443593708137909</v>
      </c>
      <c r="N98" s="93">
        <v>0.8481566745565966</v>
      </c>
      <c r="O98" s="183"/>
    </row>
    <row r="99" spans="1:15" ht="39" customHeight="1">
      <c r="A99" s="136"/>
      <c r="B99" s="26" t="s">
        <v>162</v>
      </c>
      <c r="C99" s="27" t="s">
        <v>161</v>
      </c>
      <c r="D99" s="92">
        <v>1.261</v>
      </c>
      <c r="E99" s="92">
        <v>1.371</v>
      </c>
      <c r="F99" s="93">
        <v>1.356</v>
      </c>
      <c r="G99" s="93">
        <v>1.784</v>
      </c>
      <c r="H99" s="93">
        <v>1.789</v>
      </c>
      <c r="I99" s="93">
        <v>1.788</v>
      </c>
      <c r="J99" s="93">
        <v>1.1793870732653775</v>
      </c>
      <c r="K99" s="93">
        <v>0.7588176745877556</v>
      </c>
      <c r="L99" s="93">
        <v>0.785745239679677</v>
      </c>
      <c r="M99" s="93">
        <v>0.78895115188333</v>
      </c>
      <c r="N99" s="93">
        <v>0.7924992704516715</v>
      </c>
      <c r="O99" s="183"/>
    </row>
    <row r="100" spans="1:15" ht="39" customHeight="1">
      <c r="A100" s="137"/>
      <c r="B100" s="138" t="s">
        <v>153</v>
      </c>
      <c r="C100" s="139" t="s">
        <v>161</v>
      </c>
      <c r="D100" s="140">
        <v>1.312</v>
      </c>
      <c r="E100" s="140">
        <v>0.954</v>
      </c>
      <c r="F100" s="141">
        <v>0.768</v>
      </c>
      <c r="G100" s="141">
        <v>1.047</v>
      </c>
      <c r="H100" s="141">
        <v>1.009</v>
      </c>
      <c r="I100" s="141">
        <v>1.017</v>
      </c>
      <c r="J100" s="141">
        <v>4.5464758605676865</v>
      </c>
      <c r="K100" s="141">
        <v>4.786108585592742</v>
      </c>
      <c r="L100" s="141">
        <v>4.822956590507972</v>
      </c>
      <c r="M100" s="141">
        <v>4.842634693040926</v>
      </c>
      <c r="N100" s="141">
        <v>4.864413281022015</v>
      </c>
      <c r="O100" s="184"/>
    </row>
    <row r="101" spans="1:15" ht="304.5" customHeight="1">
      <c r="A101" s="113" t="s">
        <v>167</v>
      </c>
      <c r="B101" s="114" t="s">
        <v>168</v>
      </c>
      <c r="C101" s="115"/>
      <c r="D101" s="116"/>
      <c r="E101" s="117"/>
      <c r="F101" s="117"/>
      <c r="G101" s="117"/>
      <c r="H101" s="117"/>
      <c r="I101" s="117"/>
      <c r="J101" s="117"/>
      <c r="K101" s="117"/>
      <c r="L101" s="108"/>
      <c r="M101" s="108"/>
      <c r="N101" s="108"/>
      <c r="O101" s="186" t="s">
        <v>172</v>
      </c>
    </row>
    <row r="102" spans="1:15" ht="15.75">
      <c r="A102" s="115"/>
      <c r="B102" s="118" t="s">
        <v>169</v>
      </c>
      <c r="C102" s="113" t="s">
        <v>170</v>
      </c>
      <c r="D102" s="109"/>
      <c r="E102" s="109"/>
      <c r="F102" s="109"/>
      <c r="G102" s="109"/>
      <c r="H102" s="109"/>
      <c r="I102" s="109"/>
      <c r="J102" s="109"/>
      <c r="K102" s="109"/>
      <c r="L102" s="108"/>
      <c r="M102" s="108"/>
      <c r="N102" s="108"/>
      <c r="O102" s="186"/>
    </row>
    <row r="103" spans="1:15" ht="15.75">
      <c r="A103" s="115"/>
      <c r="B103" s="118" t="s">
        <v>171</v>
      </c>
      <c r="C103" s="113" t="s">
        <v>170</v>
      </c>
      <c r="D103" s="109"/>
      <c r="E103" s="109"/>
      <c r="F103" s="109"/>
      <c r="G103" s="109"/>
      <c r="H103" s="109"/>
      <c r="I103" s="109"/>
      <c r="J103" s="109"/>
      <c r="K103" s="109"/>
      <c r="L103" s="108"/>
      <c r="M103" s="108"/>
      <c r="N103" s="108"/>
      <c r="O103" s="186"/>
    </row>
    <row r="104" spans="1:19" s="121" customFormat="1" ht="15.75">
      <c r="A104" s="107"/>
      <c r="B104" s="119"/>
      <c r="C104" s="120"/>
      <c r="F104" s="122"/>
      <c r="G104" s="122"/>
      <c r="H104" s="122"/>
      <c r="I104" s="122"/>
      <c r="J104" s="122"/>
      <c r="K104" s="122"/>
      <c r="L104" s="122"/>
      <c r="M104" s="122"/>
      <c r="N104" s="122"/>
      <c r="O104" s="154"/>
      <c r="S104" s="123"/>
    </row>
    <row r="105" spans="1:19" s="121" customFormat="1" ht="15.75">
      <c r="A105" s="107"/>
      <c r="B105" s="119"/>
      <c r="C105" s="120"/>
      <c r="F105" s="122"/>
      <c r="G105" s="122"/>
      <c r="H105" s="122"/>
      <c r="I105" s="122"/>
      <c r="J105" s="122"/>
      <c r="K105" s="122"/>
      <c r="L105" s="122"/>
      <c r="M105" s="122"/>
      <c r="N105" s="122"/>
      <c r="O105" s="154"/>
      <c r="S105" s="123"/>
    </row>
    <row r="106" spans="1:19" s="121" customFormat="1" ht="15.75">
      <c r="A106" s="107"/>
      <c r="B106" s="119"/>
      <c r="C106" s="120"/>
      <c r="F106" s="122"/>
      <c r="G106" s="122"/>
      <c r="H106" s="122"/>
      <c r="I106" s="122"/>
      <c r="J106" s="122"/>
      <c r="K106" s="122"/>
      <c r="L106" s="122"/>
      <c r="M106" s="122"/>
      <c r="N106" s="122"/>
      <c r="O106" s="154"/>
      <c r="S106" s="123"/>
    </row>
    <row r="107" spans="1:19" s="121" customFormat="1" ht="12.75">
      <c r="A107" s="185" t="s">
        <v>163</v>
      </c>
      <c r="B107" s="185"/>
      <c r="C107" s="185"/>
      <c r="D107" s="185"/>
      <c r="E107" s="185"/>
      <c r="F107" s="185"/>
      <c r="G107" s="185"/>
      <c r="H107" s="185"/>
      <c r="I107" s="185"/>
      <c r="J107" s="185"/>
      <c r="K107" s="185"/>
      <c r="L107" s="185"/>
      <c r="M107" s="185"/>
      <c r="N107" s="185"/>
      <c r="O107" s="185"/>
      <c r="S107" s="123"/>
    </row>
  </sheetData>
  <sheetProtection selectLockedCells="1" selectUnlockedCells="1"/>
  <mergeCells count="27">
    <mergeCell ref="A88:O88"/>
    <mergeCell ref="O89:O93"/>
    <mergeCell ref="O95:O100"/>
    <mergeCell ref="A107:O107"/>
    <mergeCell ref="O101:O103"/>
    <mergeCell ref="A53:O53"/>
    <mergeCell ref="A63:O63"/>
    <mergeCell ref="O67:O68"/>
    <mergeCell ref="O69:O71"/>
    <mergeCell ref="A72:O72"/>
    <mergeCell ref="A77:O77"/>
    <mergeCell ref="A6:O6"/>
    <mergeCell ref="O18:O23"/>
    <mergeCell ref="A24:O24"/>
    <mergeCell ref="A32:O32"/>
    <mergeCell ref="A46:O46"/>
    <mergeCell ref="O47:O51"/>
    <mergeCell ref="A1:O1"/>
    <mergeCell ref="A2:O2"/>
    <mergeCell ref="Q2:R5"/>
    <mergeCell ref="A3:O3"/>
    <mergeCell ref="A4:A5"/>
    <mergeCell ref="B4:B5"/>
    <mergeCell ref="D4:D5"/>
    <mergeCell ref="O4:O5"/>
    <mergeCell ref="F4:K4"/>
    <mergeCell ref="L4:N4"/>
  </mergeCells>
  <printOptions/>
  <pageMargins left="0.5402777777777777" right="0.2902777777777778" top="0.9701388888888889" bottom="0.39375" header="0.5902777777777778" footer="0.5118055555555555"/>
  <pageSetup horizontalDpi="300" verticalDpi="300" orientation="landscape" paperSize="9" scale="88" r:id="rId3"/>
  <headerFooter alignWithMargins="0">
    <oddHeader>&amp;C&amp;P</oddHeader>
  </headerFooter>
  <rowBreaks count="5" manualBreakCount="5">
    <brk id="15" max="14" man="1"/>
    <brk id="23" max="14" man="1"/>
    <brk id="33" max="14" man="1"/>
    <brk id="38" max="255" man="1"/>
    <brk id="66"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Трахинина Жанна Викторовна</cp:lastModifiedBy>
  <cp:lastPrinted>2019-04-23T14:25:10Z</cp:lastPrinted>
  <dcterms:modified xsi:type="dcterms:W3CDTF">2019-05-13T08:19:46Z</dcterms:modified>
  <cp:category/>
  <cp:version/>
  <cp:contentType/>
  <cp:contentStatus/>
</cp:coreProperties>
</file>